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6210"/>
  </bookViews>
  <sheets>
    <sheet name="Sheet1" sheetId="1" r:id="rId1"/>
    <sheet name="Expliantion" sheetId="2" r:id="rId2"/>
    <sheet name="Units convertion" sheetId="3" r:id="rId3"/>
    <sheet name="RsUnits" sheetId="4" r:id="rId4"/>
    <sheet name="SoilClassfication" sheetId="5" r:id="rId5"/>
    <sheet name="ReadMe" sheetId="6" r:id="rId6"/>
  </sheets>
  <definedNames>
    <definedName name="_xlnm._FilterDatabase" localSheetId="0" hidden="1">Sheet1!$F$1:$F$1667</definedName>
  </definedNames>
  <calcPr calcId="144525"/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BL1825" i="1" l="1"/>
  <c r="BL1824" i="1"/>
  <c r="BL1823" i="1"/>
  <c r="BL1822" i="1"/>
  <c r="BL1821" i="1"/>
  <c r="BL1820" i="1"/>
  <c r="BL1819" i="1"/>
  <c r="BL1818" i="1"/>
  <c r="BL1817" i="1"/>
  <c r="BL1816" i="1"/>
  <c r="BL1815" i="1"/>
  <c r="BL1814" i="1"/>
  <c r="BL1813" i="1"/>
  <c r="BL1812" i="1"/>
  <c r="BL1811" i="1"/>
  <c r="BL1809" i="1"/>
  <c r="BL1810" i="1"/>
  <c r="BL1808" i="1"/>
  <c r="BL1807" i="1"/>
  <c r="BL1806" i="1"/>
  <c r="BL1805" i="1"/>
  <c r="BL1804" i="1"/>
  <c r="BL1802" i="1"/>
  <c r="BL1803" i="1"/>
  <c r="BK1821" i="1"/>
  <c r="BK1822" i="1"/>
  <c r="BK1820" i="1"/>
  <c r="BK1825" i="1"/>
  <c r="BK1824" i="1"/>
  <c r="BK1823" i="1"/>
  <c r="BK1818" i="1"/>
  <c r="BK1819" i="1"/>
  <c r="BK1817" i="1"/>
  <c r="BK1815" i="1"/>
  <c r="BK1816" i="1"/>
  <c r="BK1814" i="1"/>
  <c r="BK1813" i="1"/>
  <c r="BK1812" i="1"/>
  <c r="BK1811" i="1"/>
  <c r="BK1806" i="1"/>
  <c r="BK1807" i="1"/>
  <c r="BK1808" i="1"/>
  <c r="BK1809" i="1"/>
  <c r="BK1810" i="1"/>
  <c r="BK1805" i="1"/>
  <c r="BK1803" i="1"/>
  <c r="BK1804" i="1"/>
  <c r="BK1802" i="1"/>
  <c r="U1825" i="1"/>
  <c r="U1824" i="1"/>
  <c r="U1823" i="1"/>
  <c r="U1813" i="1"/>
  <c r="U1812" i="1"/>
  <c r="U1811" i="1"/>
  <c r="U1822" i="1"/>
  <c r="U1821" i="1"/>
  <c r="U1820" i="1"/>
  <c r="U1819" i="1"/>
  <c r="U1818" i="1"/>
  <c r="U1817" i="1"/>
  <c r="U1816" i="1"/>
  <c r="U1815" i="1"/>
  <c r="U1814" i="1"/>
  <c r="U1810" i="1"/>
  <c r="U1809" i="1"/>
  <c r="U1808" i="1"/>
  <c r="U1807" i="1"/>
  <c r="U1806" i="1"/>
  <c r="U1805" i="1"/>
  <c r="U1804" i="1"/>
  <c r="U1803" i="1"/>
  <c r="U1802" i="1"/>
  <c r="BC1801" i="1"/>
  <c r="BB1801" i="1"/>
  <c r="BC1800" i="1"/>
  <c r="BB1800" i="1"/>
  <c r="BC1799" i="1"/>
  <c r="BB1799" i="1"/>
  <c r="BB1798" i="1"/>
  <c r="BC1798" i="1"/>
  <c r="K43" i="3"/>
  <c r="C43" i="3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8" i="1"/>
  <c r="H1788" i="1"/>
  <c r="I1787" i="1"/>
  <c r="H1787" i="1"/>
  <c r="I1789" i="1"/>
  <c r="H1789" i="1"/>
  <c r="I1786" i="1"/>
  <c r="H1786" i="1"/>
  <c r="BL1783" i="1"/>
  <c r="BL1782" i="1"/>
  <c r="BK1783" i="1"/>
  <c r="BK1782" i="1"/>
  <c r="C26" i="3"/>
  <c r="E34" i="3"/>
  <c r="C35" i="3"/>
  <c r="E35" i="3"/>
  <c r="CP1677" i="1"/>
  <c r="CO1677" i="1"/>
  <c r="CP1675" i="1"/>
  <c r="CO1675" i="1"/>
  <c r="CM1676" i="1"/>
  <c r="DG1678" i="1"/>
  <c r="DG1677" i="1"/>
  <c r="DG1676" i="1"/>
  <c r="DG1675" i="1"/>
  <c r="W1672" i="1" l="1"/>
  <c r="W1673" i="1"/>
  <c r="W1674" i="1"/>
  <c r="W1671" i="1"/>
  <c r="H1674" i="1"/>
  <c r="H1673" i="1"/>
  <c r="H1672" i="1"/>
  <c r="H1671" i="1"/>
  <c r="CO1670" i="1"/>
  <c r="BI1670" i="1"/>
  <c r="BH1670" i="1"/>
  <c r="CG1670" i="1"/>
  <c r="CF1670" i="1"/>
  <c r="W1670" i="1"/>
  <c r="V1670" i="1" s="1"/>
  <c r="Z1670" i="1"/>
  <c r="I1670" i="1"/>
  <c r="H1670" i="1"/>
  <c r="DW1669" i="1"/>
  <c r="DV1669" i="1"/>
  <c r="DW1668" i="1"/>
  <c r="DV1668" i="1"/>
  <c r="EQ1669" i="1"/>
  <c r="ER1669" i="1"/>
  <c r="ER1668" i="1"/>
  <c r="EQ1668" i="1"/>
  <c r="C65" i="3"/>
  <c r="E65" i="3"/>
  <c r="EJ85" i="1" l="1"/>
  <c r="F114" i="2" l="1"/>
  <c r="E114" i="2"/>
  <c r="H65" i="2"/>
  <c r="BI814" i="1" l="1"/>
  <c r="BI813" i="1"/>
  <c r="BI812" i="1"/>
  <c r="BI811" i="1"/>
  <c r="BI810" i="1"/>
  <c r="BI809" i="1"/>
  <c r="BI808" i="1"/>
  <c r="BI807" i="1"/>
  <c r="BI806" i="1"/>
  <c r="BI805" i="1"/>
  <c r="BI804" i="1"/>
  <c r="BI803" i="1"/>
  <c r="BI802" i="1"/>
  <c r="BI801" i="1"/>
  <c r="BI800" i="1"/>
  <c r="BI799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I798" i="1"/>
  <c r="BI797" i="1"/>
  <c r="BH798" i="1"/>
  <c r="BH797" i="1"/>
  <c r="BI1335" i="1" l="1"/>
  <c r="BI1334" i="1"/>
  <c r="BI1333" i="1"/>
  <c r="BH1335" i="1"/>
  <c r="BH1334" i="1"/>
  <c r="BH1333" i="1"/>
  <c r="BI1329" i="1"/>
  <c r="BI1328" i="1"/>
  <c r="BI1327" i="1"/>
  <c r="BI1326" i="1"/>
  <c r="BH1329" i="1"/>
  <c r="BH1328" i="1"/>
  <c r="BH1327" i="1"/>
  <c r="BH1326" i="1"/>
  <c r="CG1003" i="1" l="1"/>
  <c r="CG1002" i="1"/>
  <c r="CG1001" i="1"/>
  <c r="CF1003" i="1"/>
  <c r="CF1002" i="1"/>
  <c r="CF1001" i="1"/>
  <c r="CV1003" i="1"/>
  <c r="CU1003" i="1"/>
  <c r="CV1002" i="1"/>
  <c r="CU1002" i="1"/>
  <c r="CV1001" i="1"/>
  <c r="CU1001" i="1"/>
  <c r="EU788" i="1"/>
  <c r="EU787" i="1"/>
  <c r="EU786" i="1"/>
  <c r="EU785" i="1"/>
  <c r="EU784" i="1"/>
  <c r="EU783" i="1"/>
  <c r="EU782" i="1"/>
  <c r="EU781" i="1"/>
  <c r="EU780" i="1"/>
  <c r="EU779" i="1"/>
  <c r="EU778" i="1"/>
  <c r="EU777" i="1"/>
  <c r="EU776" i="1"/>
  <c r="EU775" i="1"/>
  <c r="EU774" i="1"/>
  <c r="EU773" i="1"/>
  <c r="EU772" i="1"/>
  <c r="EU771" i="1"/>
  <c r="EU770" i="1"/>
  <c r="EU769" i="1"/>
  <c r="EU768" i="1"/>
  <c r="EU767" i="1"/>
  <c r="EU766" i="1"/>
  <c r="EU765" i="1"/>
  <c r="ET788" i="1"/>
  <c r="ET787" i="1"/>
  <c r="ET786" i="1"/>
  <c r="ET785" i="1"/>
  <c r="ET784" i="1"/>
  <c r="ET783" i="1"/>
  <c r="ET782" i="1"/>
  <c r="ET781" i="1"/>
  <c r="ET780" i="1"/>
  <c r="ET779" i="1"/>
  <c r="ET778" i="1"/>
  <c r="ET777" i="1"/>
  <c r="ET776" i="1"/>
  <c r="ET775" i="1"/>
  <c r="ET774" i="1"/>
  <c r="ET773" i="1"/>
  <c r="ET772" i="1"/>
  <c r="ET771" i="1"/>
  <c r="ET770" i="1"/>
  <c r="ET769" i="1"/>
  <c r="ET768" i="1"/>
  <c r="ET767" i="1"/>
  <c r="ET766" i="1"/>
  <c r="ET765" i="1"/>
  <c r="C64" i="3"/>
  <c r="EU168" i="1"/>
  <c r="EU169" i="1"/>
  <c r="EU170" i="1"/>
  <c r="EU171" i="1"/>
  <c r="EU167" i="1"/>
  <c r="EU163" i="1"/>
  <c r="EU164" i="1"/>
  <c r="EU165" i="1"/>
  <c r="EU166" i="1"/>
  <c r="EU162" i="1"/>
  <c r="EU158" i="1"/>
  <c r="EU159" i="1"/>
  <c r="EU160" i="1"/>
  <c r="EU161" i="1"/>
  <c r="EU157" i="1"/>
  <c r="ET152" i="1"/>
  <c r="EU153" i="1"/>
  <c r="EU154" i="1"/>
  <c r="EU155" i="1"/>
  <c r="EU156" i="1"/>
  <c r="EU152" i="1"/>
  <c r="ET156" i="1"/>
  <c r="ET155" i="1"/>
  <c r="ET154" i="1"/>
  <c r="ET153" i="1"/>
  <c r="ER152" i="1"/>
  <c r="BL1617" i="1" l="1"/>
  <c r="BL1616" i="1"/>
  <c r="BL1615" i="1"/>
  <c r="BL1614" i="1"/>
  <c r="BL1613" i="1"/>
  <c r="BL1612" i="1"/>
  <c r="BL1611" i="1"/>
  <c r="BL1610" i="1"/>
  <c r="BL1609" i="1"/>
  <c r="BL1608" i="1"/>
  <c r="BL1607" i="1"/>
  <c r="BL1606" i="1"/>
  <c r="BK1617" i="1"/>
  <c r="BK1616" i="1"/>
  <c r="BK1615" i="1"/>
  <c r="BK1614" i="1"/>
  <c r="BK1613" i="1"/>
  <c r="BK1612" i="1"/>
  <c r="BK1611" i="1"/>
  <c r="BK1610" i="1"/>
  <c r="BK1609" i="1"/>
  <c r="BK1608" i="1"/>
  <c r="BK1607" i="1"/>
  <c r="BK1606" i="1"/>
  <c r="BL1605" i="1"/>
  <c r="BL1604" i="1"/>
  <c r="BL1603" i="1"/>
  <c r="BL1602" i="1"/>
  <c r="BL1601" i="1"/>
  <c r="BL1600" i="1"/>
  <c r="BL1599" i="1"/>
  <c r="BL1598" i="1"/>
  <c r="BL1597" i="1"/>
  <c r="BL1596" i="1"/>
  <c r="BL1595" i="1"/>
  <c r="BL1594" i="1"/>
  <c r="BK1605" i="1"/>
  <c r="BK1604" i="1"/>
  <c r="BK1603" i="1"/>
  <c r="BK1602" i="1"/>
  <c r="BK1601" i="1"/>
  <c r="BK1600" i="1"/>
  <c r="BK1599" i="1"/>
  <c r="BK1598" i="1"/>
  <c r="BK1597" i="1"/>
  <c r="BK1596" i="1"/>
  <c r="BK1595" i="1"/>
  <c r="BK1594" i="1"/>
  <c r="BL1593" i="1"/>
  <c r="BL1592" i="1"/>
  <c r="BL1591" i="1"/>
  <c r="BL1590" i="1"/>
  <c r="BL1589" i="1"/>
  <c r="BL1588" i="1"/>
  <c r="BL1587" i="1"/>
  <c r="BL1586" i="1"/>
  <c r="BL1585" i="1"/>
  <c r="BL1584" i="1"/>
  <c r="BL1583" i="1"/>
  <c r="BL1582" i="1"/>
  <c r="BK1593" i="1"/>
  <c r="BK1592" i="1"/>
  <c r="BK1591" i="1"/>
  <c r="BK1590" i="1"/>
  <c r="BK1589" i="1"/>
  <c r="BK1588" i="1"/>
  <c r="BK1587" i="1"/>
  <c r="BK1586" i="1"/>
  <c r="BK1585" i="1"/>
  <c r="BK1584" i="1"/>
  <c r="BK1583" i="1"/>
  <c r="BK1582" i="1"/>
  <c r="BL1581" i="1"/>
  <c r="BL1580" i="1"/>
  <c r="BL1579" i="1"/>
  <c r="BL1578" i="1"/>
  <c r="BL1577" i="1"/>
  <c r="BL1576" i="1"/>
  <c r="BL1575" i="1"/>
  <c r="BL1574" i="1"/>
  <c r="BL1573" i="1"/>
  <c r="BL1572" i="1"/>
  <c r="BL1571" i="1"/>
  <c r="BL1570" i="1"/>
  <c r="BK1581" i="1"/>
  <c r="BK1580" i="1"/>
  <c r="BK1579" i="1"/>
  <c r="BK1578" i="1"/>
  <c r="BK1577" i="1"/>
  <c r="BK1576" i="1"/>
  <c r="BK1575" i="1"/>
  <c r="BK1574" i="1"/>
  <c r="BK1573" i="1"/>
  <c r="BK1572" i="1"/>
  <c r="BK1571" i="1"/>
  <c r="BK1570" i="1"/>
  <c r="BL1557" i="1"/>
  <c r="BL1556" i="1"/>
  <c r="BL1555" i="1"/>
  <c r="BL1554" i="1"/>
  <c r="BL1553" i="1"/>
  <c r="BL1552" i="1"/>
  <c r="BL1551" i="1"/>
  <c r="BL1550" i="1"/>
  <c r="BL1549" i="1"/>
  <c r="BL1548" i="1"/>
  <c r="BL1547" i="1"/>
  <c r="BL1546" i="1"/>
  <c r="BK1557" i="1"/>
  <c r="BK1556" i="1"/>
  <c r="BK1555" i="1"/>
  <c r="BK1554" i="1"/>
  <c r="BK1553" i="1"/>
  <c r="BK1552" i="1"/>
  <c r="BK1551" i="1"/>
  <c r="BK1550" i="1"/>
  <c r="BK1549" i="1"/>
  <c r="BK1548" i="1"/>
  <c r="BK1547" i="1"/>
  <c r="BK1546" i="1"/>
  <c r="U1547" i="1"/>
  <c r="U1548" i="1"/>
  <c r="U1549" i="1"/>
  <c r="U1550" i="1"/>
  <c r="U1551" i="1"/>
  <c r="U1552" i="1"/>
  <c r="U1553" i="1"/>
  <c r="U1554" i="1"/>
  <c r="U1555" i="1"/>
  <c r="U1556" i="1"/>
  <c r="U1557" i="1"/>
  <c r="U1546" i="1"/>
  <c r="V1545" i="1"/>
  <c r="V1544" i="1"/>
  <c r="BI153" i="1" l="1"/>
  <c r="BI152" i="1"/>
  <c r="M35" i="3"/>
  <c r="C37" i="3" s="1"/>
  <c r="E37" i="3" s="1"/>
  <c r="G48" i="3"/>
  <c r="C48" i="3" s="1"/>
  <c r="E48" i="3" s="1"/>
  <c r="AV1539" i="1"/>
  <c r="AV1538" i="1"/>
  <c r="AV1537" i="1"/>
  <c r="AV1536" i="1"/>
  <c r="AV1535" i="1"/>
  <c r="AV1529" i="1"/>
  <c r="AV1528" i="1"/>
  <c r="AV1527" i="1"/>
  <c r="AV1526" i="1"/>
  <c r="AV1525" i="1"/>
  <c r="AV1534" i="1"/>
  <c r="AV1533" i="1"/>
  <c r="AV1532" i="1"/>
  <c r="AV1530" i="1"/>
  <c r="AV1531" i="1"/>
  <c r="AV1524" i="1"/>
  <c r="AV1523" i="1"/>
  <c r="AV1522" i="1"/>
  <c r="AV1521" i="1"/>
  <c r="AV1520" i="1"/>
  <c r="DH1514" i="1"/>
  <c r="DH1513" i="1"/>
  <c r="DH1512" i="1"/>
  <c r="DH1511" i="1"/>
  <c r="DG1512" i="1"/>
  <c r="DG1513" i="1"/>
  <c r="DG1514" i="1"/>
  <c r="DG1511" i="1"/>
  <c r="DH1518" i="1"/>
  <c r="DH1519" i="1"/>
  <c r="DH1517" i="1"/>
  <c r="DH1516" i="1"/>
  <c r="DH1515" i="1"/>
  <c r="DG1516" i="1"/>
  <c r="DG1517" i="1"/>
  <c r="DG1518" i="1"/>
  <c r="DG1519" i="1"/>
  <c r="DG1515" i="1"/>
  <c r="DH1510" i="1"/>
  <c r="DH1509" i="1"/>
  <c r="DH1508" i="1"/>
  <c r="DH1507" i="1"/>
  <c r="DG1508" i="1"/>
  <c r="DG1509" i="1"/>
  <c r="DG1510" i="1"/>
  <c r="DG1507" i="1"/>
  <c r="ER1500" i="1"/>
  <c r="ER1499" i="1"/>
  <c r="ER1498" i="1"/>
  <c r="ER1497" i="1"/>
  <c r="ER1496" i="1"/>
  <c r="ER1495" i="1"/>
  <c r="EQ1502" i="1"/>
  <c r="EQ1503" i="1"/>
  <c r="EQ1504" i="1"/>
  <c r="EQ1505" i="1"/>
  <c r="EQ1506" i="1"/>
  <c r="EQ1501" i="1"/>
  <c r="EQ1496" i="1"/>
  <c r="EQ1497" i="1"/>
  <c r="EQ1498" i="1"/>
  <c r="EQ1499" i="1"/>
  <c r="EQ1500" i="1"/>
  <c r="EQ1495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EQ1490" i="1"/>
  <c r="EQ1491" i="1"/>
  <c r="EQ1492" i="1"/>
  <c r="EQ1493" i="1"/>
  <c r="EQ1494" i="1"/>
  <c r="EQ1489" i="1"/>
  <c r="ER1494" i="1"/>
  <c r="I1494" i="1"/>
  <c r="H1494" i="1"/>
  <c r="ER1493" i="1"/>
  <c r="I1493" i="1"/>
  <c r="H1493" i="1"/>
  <c r="ER1492" i="1"/>
  <c r="I1492" i="1"/>
  <c r="H1492" i="1"/>
  <c r="ER1491" i="1"/>
  <c r="I1491" i="1"/>
  <c r="H1491" i="1"/>
  <c r="ER1490" i="1"/>
  <c r="I1490" i="1"/>
  <c r="H1490" i="1"/>
  <c r="ER1489" i="1"/>
  <c r="I1489" i="1"/>
  <c r="H1489" i="1"/>
  <c r="ER1488" i="1"/>
  <c r="ER1487" i="1"/>
  <c r="ER1486" i="1"/>
  <c r="ER1485" i="1"/>
  <c r="ER1484" i="1"/>
  <c r="ER1483" i="1"/>
  <c r="EQ1484" i="1"/>
  <c r="EQ1485" i="1"/>
  <c r="EQ1486" i="1"/>
  <c r="EQ1487" i="1"/>
  <c r="EQ1488" i="1"/>
  <c r="EQ1483" i="1"/>
  <c r="I1488" i="1"/>
  <c r="H1488" i="1"/>
  <c r="I1487" i="1"/>
  <c r="H1487" i="1"/>
  <c r="I1486" i="1"/>
  <c r="H1486" i="1"/>
  <c r="I1485" i="1"/>
  <c r="H1485" i="1"/>
  <c r="I1484" i="1"/>
  <c r="H1484" i="1"/>
  <c r="I1483" i="1" l="1"/>
  <c r="H1483" i="1"/>
  <c r="E38" i="3"/>
  <c r="BI1457" i="1" l="1"/>
  <c r="BH1457" i="1"/>
  <c r="U1458" i="1"/>
  <c r="U1457" i="1"/>
  <c r="DW1455" i="1"/>
  <c r="DV1455" i="1"/>
  <c r="BL1455" i="1"/>
  <c r="BK1455" i="1"/>
  <c r="C62" i="3" l="1"/>
  <c r="Z1419" i="1"/>
  <c r="Z1420" i="1"/>
  <c r="Z1421" i="1"/>
  <c r="Z1422" i="1"/>
  <c r="Z1418" i="1"/>
  <c r="M37" i="3"/>
  <c r="V1419" i="1"/>
  <c r="W1419" i="1" s="1"/>
  <c r="V1420" i="1"/>
  <c r="W1420" i="1" s="1"/>
  <c r="V1421" i="1"/>
  <c r="W1421" i="1" s="1"/>
  <c r="V1422" i="1"/>
  <c r="W1422" i="1" s="1"/>
  <c r="V1418" i="1"/>
  <c r="W1418" i="1" s="1"/>
  <c r="J1419" i="1"/>
  <c r="J1420" i="1"/>
  <c r="J1421" i="1"/>
  <c r="J1422" i="1"/>
  <c r="J1418" i="1"/>
  <c r="I1423" i="1"/>
  <c r="H1423" i="1"/>
  <c r="I1418" i="1"/>
  <c r="H1418" i="1"/>
  <c r="BI1427" i="1"/>
  <c r="BH1427" i="1"/>
  <c r="I1427" i="1"/>
  <c r="H1427" i="1"/>
  <c r="BI1426" i="1"/>
  <c r="BH1426" i="1"/>
  <c r="I1426" i="1"/>
  <c r="H1426" i="1"/>
  <c r="BI1425" i="1"/>
  <c r="BH1425" i="1"/>
  <c r="I1425" i="1"/>
  <c r="H1425" i="1"/>
  <c r="I1419" i="1"/>
  <c r="H1419" i="1"/>
  <c r="BI1422" i="1"/>
  <c r="BI1421" i="1"/>
  <c r="BI1420" i="1"/>
  <c r="BH1422" i="1"/>
  <c r="BH1421" i="1"/>
  <c r="BH1420" i="1"/>
  <c r="I1424" i="1"/>
  <c r="H1424" i="1"/>
  <c r="O38" i="3"/>
  <c r="N38" i="3"/>
  <c r="M38" i="3"/>
  <c r="O37" i="3"/>
  <c r="N37" i="3"/>
  <c r="I1422" i="1"/>
  <c r="H1422" i="1"/>
  <c r="I1421" i="1"/>
  <c r="H1421" i="1"/>
  <c r="I1420" i="1"/>
  <c r="H1420" i="1"/>
  <c r="DD1395" i="1"/>
  <c r="DD1394" i="1"/>
  <c r="DE1395" i="1"/>
  <c r="DE1394" i="1"/>
  <c r="DE1393" i="1"/>
  <c r="DE1392" i="1"/>
  <c r="DD1393" i="1"/>
  <c r="DD1392" i="1"/>
  <c r="AV1385" i="1" l="1"/>
  <c r="AV1384" i="1"/>
  <c r="AV1391" i="1"/>
  <c r="AV1390" i="1"/>
  <c r="AV1389" i="1"/>
  <c r="AV1388" i="1"/>
  <c r="AV1387" i="1"/>
  <c r="AV1386" i="1"/>
  <c r="DH1383" i="1"/>
  <c r="DH1382" i="1"/>
  <c r="DH1381" i="1"/>
  <c r="DH1380" i="1"/>
  <c r="DH1379" i="1"/>
  <c r="DH1378" i="1"/>
  <c r="DH1377" i="1"/>
  <c r="DH1376" i="1"/>
  <c r="DG1383" i="1"/>
  <c r="DG1382" i="1"/>
  <c r="DG1381" i="1"/>
  <c r="DG1380" i="1"/>
  <c r="DG1379" i="1"/>
  <c r="DG1378" i="1"/>
  <c r="DG1377" i="1"/>
  <c r="DG1376" i="1"/>
  <c r="DH1375" i="1"/>
  <c r="DH1374" i="1"/>
  <c r="DH1373" i="1"/>
  <c r="DH1372" i="1"/>
  <c r="DH1371" i="1"/>
  <c r="DH1370" i="1"/>
  <c r="DH1369" i="1"/>
  <c r="DH1368" i="1"/>
  <c r="DG1375" i="1"/>
  <c r="DG1374" i="1"/>
  <c r="DG1373" i="1"/>
  <c r="DG1372" i="1"/>
  <c r="DG1371" i="1"/>
  <c r="DG1370" i="1"/>
  <c r="DG1369" i="1"/>
  <c r="DG1368" i="1"/>
  <c r="DH1367" i="1"/>
  <c r="DH1366" i="1"/>
  <c r="DH1365" i="1"/>
  <c r="DH1364" i="1"/>
  <c r="DH1363" i="1"/>
  <c r="DH1362" i="1"/>
  <c r="DH1361" i="1"/>
  <c r="DH1360" i="1"/>
  <c r="DG1367" i="1"/>
  <c r="DG1366" i="1"/>
  <c r="DG1363" i="1"/>
  <c r="DG1362" i="1"/>
  <c r="DG1365" i="1"/>
  <c r="DG1364" i="1"/>
  <c r="DG1361" i="1"/>
  <c r="DG1360" i="1"/>
  <c r="DH1359" i="1"/>
  <c r="DH1358" i="1"/>
  <c r="DH1357" i="1"/>
  <c r="DH1356" i="1"/>
  <c r="DG1359" i="1"/>
  <c r="DG1358" i="1"/>
  <c r="DG1357" i="1"/>
  <c r="DG1356" i="1"/>
  <c r="DH1351" i="1"/>
  <c r="DH1350" i="1"/>
  <c r="DH1349" i="1"/>
  <c r="DH1348" i="1"/>
  <c r="DH1347" i="1"/>
  <c r="DH1346" i="1"/>
  <c r="DH1345" i="1"/>
  <c r="DH1344" i="1"/>
  <c r="DG1351" i="1"/>
  <c r="DG1350" i="1"/>
  <c r="DG1349" i="1"/>
  <c r="DG1348" i="1"/>
  <c r="DG1347" i="1"/>
  <c r="DG1346" i="1"/>
  <c r="DG1345" i="1"/>
  <c r="DG1344" i="1"/>
  <c r="DH1343" i="1"/>
  <c r="DH1342" i="1"/>
  <c r="DH1341" i="1"/>
  <c r="DH1340" i="1"/>
  <c r="DG1343" i="1"/>
  <c r="DG1342" i="1"/>
  <c r="DG1341" i="1"/>
  <c r="DG1340" i="1"/>
  <c r="DH1339" i="1"/>
  <c r="DH1338" i="1"/>
  <c r="DH1337" i="1"/>
  <c r="DH1336" i="1"/>
  <c r="DG1339" i="1"/>
  <c r="DG1338" i="1"/>
  <c r="DG1337" i="1"/>
  <c r="DG1336" i="1"/>
  <c r="CS1331" i="1" l="1"/>
  <c r="CS1330" i="1"/>
  <c r="CS1328" i="1"/>
  <c r="CS1327" i="1"/>
  <c r="CS1326" i="1"/>
  <c r="CS1324" i="1"/>
  <c r="CS1323" i="1"/>
  <c r="CS1322" i="1"/>
  <c r="CR1331" i="1"/>
  <c r="CR1330" i="1"/>
  <c r="CR1328" i="1"/>
  <c r="CR1327" i="1"/>
  <c r="CR1326" i="1"/>
  <c r="CR1324" i="1"/>
  <c r="CR1323" i="1"/>
  <c r="CR1322" i="1"/>
  <c r="C80" i="3"/>
  <c r="E80" i="3" s="1"/>
  <c r="CP1331" i="1"/>
  <c r="CP1330" i="1"/>
  <c r="CP1328" i="1"/>
  <c r="CP1327" i="1"/>
  <c r="CP1326" i="1"/>
  <c r="CP1324" i="1"/>
  <c r="CP1323" i="1"/>
  <c r="CP1322" i="1"/>
  <c r="CO1331" i="1"/>
  <c r="CO1330" i="1"/>
  <c r="CO1328" i="1"/>
  <c r="CO1327" i="1"/>
  <c r="CO1324" i="1"/>
  <c r="CO1323" i="1"/>
  <c r="CO1322" i="1"/>
  <c r="N35" i="3"/>
  <c r="C36" i="3" s="1"/>
  <c r="E36" i="3" s="1"/>
  <c r="I1335" i="1"/>
  <c r="H1335" i="1"/>
  <c r="I1334" i="1"/>
  <c r="H1334" i="1"/>
  <c r="I1333" i="1"/>
  <c r="H1333" i="1"/>
  <c r="I1329" i="1"/>
  <c r="H1329" i="1"/>
  <c r="I1328" i="1"/>
  <c r="H1328" i="1"/>
  <c r="I1327" i="1"/>
  <c r="H1327" i="1"/>
  <c r="I1326" i="1"/>
  <c r="H1326" i="1"/>
  <c r="I1332" i="1"/>
  <c r="H1332" i="1"/>
  <c r="I1331" i="1"/>
  <c r="H1331" i="1"/>
  <c r="I1325" i="1"/>
  <c r="H1325" i="1"/>
  <c r="I1324" i="1"/>
  <c r="H1324" i="1"/>
  <c r="I1323" i="1"/>
  <c r="H1323" i="1"/>
  <c r="I1330" i="1"/>
  <c r="H1330" i="1"/>
  <c r="I1322" i="1"/>
  <c r="H1322" i="1"/>
  <c r="I43" i="3"/>
  <c r="AV1321" i="1"/>
  <c r="AV1319" i="1"/>
  <c r="AV1317" i="1"/>
  <c r="AV1315" i="1"/>
  <c r="AV1313" i="1"/>
  <c r="AV1309" i="1"/>
  <c r="AV1307" i="1"/>
  <c r="AV1305" i="1"/>
  <c r="AV1303" i="1"/>
  <c r="AV1301" i="1"/>
  <c r="AV1320" i="1"/>
  <c r="AV1318" i="1"/>
  <c r="AV1316" i="1"/>
  <c r="AV1314" i="1"/>
  <c r="AV1312" i="1"/>
  <c r="AV1308" i="1"/>
  <c r="AV1306" i="1"/>
  <c r="AV1304" i="1"/>
  <c r="AV1302" i="1"/>
  <c r="AV1300" i="1"/>
  <c r="AV1255" i="1"/>
  <c r="AV1254" i="1"/>
  <c r="AV1253" i="1"/>
  <c r="AV1252" i="1"/>
  <c r="AV1251" i="1"/>
  <c r="DJ1216" i="1"/>
  <c r="DJ1210" i="1"/>
  <c r="DK1216" i="1"/>
  <c r="DK1213" i="1"/>
  <c r="DK1210" i="1"/>
  <c r="DJ1213" i="1"/>
  <c r="DZ1193" i="1" l="1"/>
  <c r="DY1193" i="1"/>
  <c r="DZ1192" i="1"/>
  <c r="DY1192" i="1"/>
  <c r="DZ1191" i="1"/>
  <c r="DY1191" i="1"/>
  <c r="DZ1190" i="1"/>
  <c r="DY1190" i="1"/>
  <c r="EH1190" i="1"/>
  <c r="W1160" i="1"/>
  <c r="V1160" i="1"/>
  <c r="N1160" i="1"/>
  <c r="W1159" i="1"/>
  <c r="V1159" i="1"/>
  <c r="N1159" i="1"/>
  <c r="W1158" i="1"/>
  <c r="V1158" i="1"/>
  <c r="N1158" i="1"/>
  <c r="W1157" i="1"/>
  <c r="V1157" i="1"/>
  <c r="N1157" i="1"/>
  <c r="W1156" i="1"/>
  <c r="V1156" i="1"/>
  <c r="N1156" i="1"/>
  <c r="W1155" i="1"/>
  <c r="V1155" i="1"/>
  <c r="N1155" i="1"/>
  <c r="W1154" i="1"/>
  <c r="V1154" i="1"/>
  <c r="N1154" i="1"/>
  <c r="W1153" i="1"/>
  <c r="V1153" i="1"/>
  <c r="N1153" i="1"/>
  <c r="W1152" i="1"/>
  <c r="V1152" i="1"/>
  <c r="N1152" i="1"/>
  <c r="W1151" i="1"/>
  <c r="V1151" i="1"/>
  <c r="N1151" i="1"/>
  <c r="W1150" i="1"/>
  <c r="V1150" i="1"/>
  <c r="N1150" i="1"/>
  <c r="W1149" i="1"/>
  <c r="V1149" i="1"/>
  <c r="N1149" i="1"/>
  <c r="W1148" i="1"/>
  <c r="V1148" i="1"/>
  <c r="N1148" i="1"/>
  <c r="M1148" i="1"/>
  <c r="W1147" i="1"/>
  <c r="V1147" i="1"/>
  <c r="N1147" i="1"/>
  <c r="M1147" i="1"/>
  <c r="W1146" i="1"/>
  <c r="V1146" i="1"/>
  <c r="N1146" i="1"/>
  <c r="M1146" i="1"/>
  <c r="W1145" i="1"/>
  <c r="V1145" i="1"/>
  <c r="N1145" i="1"/>
  <c r="M1145" i="1"/>
  <c r="W1144" i="1"/>
  <c r="V1144" i="1"/>
  <c r="N1144" i="1"/>
  <c r="M1144" i="1"/>
  <c r="AU1143" i="1"/>
  <c r="W1143" i="1"/>
  <c r="V1143" i="1"/>
  <c r="N1143" i="1"/>
  <c r="M1143" i="1"/>
  <c r="W1142" i="1"/>
  <c r="V1142" i="1"/>
  <c r="N1142" i="1"/>
  <c r="W1141" i="1"/>
  <c r="V1141" i="1"/>
  <c r="N1141" i="1"/>
  <c r="W1140" i="1"/>
  <c r="V1140" i="1"/>
  <c r="N1140" i="1"/>
  <c r="W1139" i="1"/>
  <c r="V1139" i="1"/>
  <c r="N1139" i="1"/>
  <c r="W1138" i="1"/>
  <c r="V1138" i="1"/>
  <c r="N1138" i="1"/>
  <c r="W1137" i="1"/>
  <c r="V1137" i="1"/>
  <c r="N1137" i="1"/>
  <c r="W1136" i="1"/>
  <c r="V1136" i="1"/>
  <c r="N1136" i="1"/>
  <c r="W1135" i="1"/>
  <c r="V1135" i="1"/>
  <c r="N1135" i="1"/>
  <c r="W1134" i="1"/>
  <c r="V1134" i="1"/>
  <c r="N1134" i="1"/>
  <c r="W1133" i="1"/>
  <c r="V1133" i="1"/>
  <c r="N1133" i="1"/>
  <c r="W1132" i="1"/>
  <c r="V1132" i="1"/>
  <c r="N1132" i="1"/>
  <c r="W1131" i="1"/>
  <c r="V1131" i="1"/>
  <c r="N1131" i="1"/>
  <c r="W1130" i="1"/>
  <c r="V1130" i="1"/>
  <c r="N1130" i="1"/>
  <c r="M1130" i="1"/>
  <c r="W1129" i="1"/>
  <c r="V1129" i="1"/>
  <c r="N1129" i="1"/>
  <c r="M1129" i="1"/>
  <c r="W1128" i="1"/>
  <c r="V1128" i="1"/>
  <c r="N1128" i="1"/>
  <c r="M1128" i="1"/>
  <c r="W1127" i="1"/>
  <c r="V1127" i="1"/>
  <c r="N1127" i="1"/>
  <c r="M1127" i="1"/>
  <c r="W1126" i="1"/>
  <c r="V1126" i="1"/>
  <c r="N1126" i="1"/>
  <c r="M1126" i="1"/>
  <c r="AU1125" i="1"/>
  <c r="W1125" i="1"/>
  <c r="V1125" i="1"/>
  <c r="N1125" i="1"/>
  <c r="M1125" i="1"/>
  <c r="BL1104" i="1"/>
  <c r="BL1101" i="1"/>
  <c r="BK1104" i="1"/>
  <c r="BK1101" i="1"/>
  <c r="BL1100" i="1"/>
  <c r="BL1099" i="1"/>
  <c r="BL1098" i="1"/>
  <c r="BL1097" i="1"/>
  <c r="BL1096" i="1"/>
  <c r="BL1095" i="1"/>
  <c r="BK1100" i="1"/>
  <c r="BK1099" i="1"/>
  <c r="BK1098" i="1"/>
  <c r="BL1094" i="1"/>
  <c r="BL1093" i="1"/>
  <c r="BL1092" i="1"/>
  <c r="BK1094" i="1"/>
  <c r="BK1093" i="1"/>
  <c r="BK1092" i="1"/>
  <c r="AU1099" i="1"/>
  <c r="AU1100" i="1"/>
  <c r="AU1101" i="1"/>
  <c r="AU1102" i="1"/>
  <c r="AU1103" i="1"/>
  <c r="AU1104" i="1"/>
  <c r="AU1105" i="1"/>
  <c r="AU1106" i="1"/>
  <c r="AU1098" i="1"/>
  <c r="AU1096" i="1"/>
  <c r="AU1097" i="1"/>
  <c r="AU1095" i="1"/>
  <c r="AU1093" i="1"/>
  <c r="AU1094" i="1"/>
  <c r="AU1092" i="1"/>
  <c r="M1108" i="1"/>
  <c r="M1109" i="1"/>
  <c r="M1110" i="1"/>
  <c r="M1111" i="1"/>
  <c r="M1112" i="1"/>
  <c r="M1113" i="1"/>
  <c r="M1114" i="1"/>
  <c r="M1115" i="1"/>
  <c r="M1107" i="1"/>
  <c r="W1115" i="1"/>
  <c r="V1115" i="1"/>
  <c r="N1115" i="1"/>
  <c r="W1114" i="1"/>
  <c r="V1114" i="1"/>
  <c r="N1114" i="1"/>
  <c r="W1113" i="1"/>
  <c r="V1113" i="1"/>
  <c r="N1113" i="1"/>
  <c r="W1112" i="1"/>
  <c r="V1112" i="1"/>
  <c r="N1112" i="1"/>
  <c r="W1111" i="1"/>
  <c r="V1111" i="1"/>
  <c r="N1111" i="1"/>
  <c r="W1110" i="1"/>
  <c r="V1110" i="1"/>
  <c r="N1110" i="1"/>
  <c r="W1109" i="1"/>
  <c r="V1109" i="1"/>
  <c r="N1109" i="1"/>
  <c r="W1108" i="1"/>
  <c r="V1108" i="1"/>
  <c r="N1108" i="1"/>
  <c r="W1107" i="1"/>
  <c r="V1107" i="1"/>
  <c r="N1107" i="1"/>
  <c r="W1124" i="1"/>
  <c r="V1124" i="1"/>
  <c r="N1124" i="1"/>
  <c r="W1123" i="1"/>
  <c r="V1123" i="1"/>
  <c r="N1123" i="1"/>
  <c r="W1122" i="1"/>
  <c r="V1122" i="1"/>
  <c r="N1122" i="1"/>
  <c r="W1121" i="1"/>
  <c r="V1121" i="1"/>
  <c r="N1121" i="1"/>
  <c r="W1120" i="1"/>
  <c r="V1120" i="1"/>
  <c r="N1120" i="1"/>
  <c r="W1119" i="1"/>
  <c r="V1119" i="1"/>
  <c r="N1119" i="1"/>
  <c r="W1118" i="1"/>
  <c r="V1118" i="1"/>
  <c r="N1118" i="1"/>
  <c r="W1117" i="1"/>
  <c r="V1117" i="1"/>
  <c r="N1117" i="1"/>
  <c r="W1116" i="1"/>
  <c r="V1116" i="1"/>
  <c r="N1116" i="1"/>
  <c r="W1106" i="1"/>
  <c r="V1106" i="1"/>
  <c r="N1106" i="1"/>
  <c r="M1106" i="1"/>
  <c r="W1105" i="1"/>
  <c r="V1105" i="1"/>
  <c r="N1105" i="1"/>
  <c r="M1105" i="1"/>
  <c r="W1104" i="1"/>
  <c r="V1104" i="1"/>
  <c r="N1104" i="1"/>
  <c r="M1104" i="1"/>
  <c r="W1103" i="1"/>
  <c r="V1103" i="1"/>
  <c r="N1103" i="1"/>
  <c r="M1103" i="1"/>
  <c r="W1102" i="1"/>
  <c r="V1102" i="1"/>
  <c r="N1102" i="1"/>
  <c r="M1102" i="1"/>
  <c r="W1101" i="1"/>
  <c r="V1101" i="1"/>
  <c r="N1101" i="1"/>
  <c r="M1101" i="1"/>
  <c r="W1100" i="1"/>
  <c r="V1100" i="1"/>
  <c r="N1100" i="1"/>
  <c r="M1100" i="1"/>
  <c r="W1099" i="1"/>
  <c r="V1099" i="1"/>
  <c r="N1099" i="1"/>
  <c r="M1099" i="1"/>
  <c r="W1098" i="1"/>
  <c r="V1098" i="1"/>
  <c r="N1098" i="1"/>
  <c r="M1098" i="1"/>
  <c r="N1093" i="1"/>
  <c r="N1094" i="1"/>
  <c r="N1095" i="1"/>
  <c r="N1096" i="1"/>
  <c r="N1097" i="1"/>
  <c r="N1092" i="1"/>
  <c r="M1093" i="1"/>
  <c r="M1094" i="1"/>
  <c r="M1095" i="1"/>
  <c r="M1096" i="1"/>
  <c r="M1097" i="1"/>
  <c r="M1092" i="1"/>
  <c r="W1097" i="1"/>
  <c r="V1097" i="1"/>
  <c r="W1096" i="1"/>
  <c r="V1096" i="1"/>
  <c r="W1095" i="1"/>
  <c r="V1095" i="1"/>
  <c r="W1094" i="1"/>
  <c r="V1094" i="1"/>
  <c r="W1093" i="1"/>
  <c r="V1093" i="1"/>
  <c r="W1092" i="1"/>
  <c r="V1092" i="1"/>
  <c r="DA975" i="1" l="1"/>
  <c r="DA974" i="1"/>
  <c r="DA973" i="1"/>
  <c r="DA972" i="1"/>
  <c r="DA971" i="1"/>
  <c r="DB975" i="1"/>
  <c r="DB974" i="1"/>
  <c r="DB973" i="1"/>
  <c r="DB972" i="1"/>
  <c r="DB971" i="1"/>
  <c r="BL1070" i="1"/>
  <c r="BK1078" i="1"/>
  <c r="BL1089" i="1"/>
  <c r="BK1089" i="1"/>
  <c r="BL1086" i="1"/>
  <c r="BK1086" i="1"/>
  <c r="BL1082" i="1"/>
  <c r="BK1082" i="1"/>
  <c r="BL1078" i="1"/>
  <c r="BL1075" i="1"/>
  <c r="BK1075" i="1"/>
  <c r="BL1071" i="1"/>
  <c r="BK1071" i="1"/>
  <c r="BL1074" i="1"/>
  <c r="BK1074" i="1"/>
  <c r="BK1070" i="1"/>
  <c r="AV1067" i="1"/>
  <c r="AV1066" i="1"/>
  <c r="AV1065" i="1"/>
  <c r="AV1064" i="1"/>
  <c r="AV1061" i="1"/>
  <c r="AV1060" i="1"/>
  <c r="AV1059" i="1"/>
  <c r="AV1058" i="1"/>
  <c r="AV1055" i="1"/>
  <c r="AV1054" i="1"/>
  <c r="AV1053" i="1"/>
  <c r="AV1052" i="1"/>
  <c r="AV1049" i="1"/>
  <c r="AV1048" i="1"/>
  <c r="AV1047" i="1"/>
  <c r="AV1046" i="1"/>
  <c r="DT91" i="1"/>
  <c r="DT90" i="1"/>
  <c r="DS91" i="1"/>
  <c r="DS90" i="1"/>
  <c r="DP90" i="1"/>
  <c r="DP91" i="1"/>
  <c r="DQ91" i="1"/>
  <c r="DQ90" i="1"/>
  <c r="DH1000" i="1"/>
  <c r="DH999" i="1"/>
  <c r="DH998" i="1"/>
  <c r="DH997" i="1"/>
  <c r="DH996" i="1"/>
  <c r="DH995" i="1"/>
  <c r="DH994" i="1"/>
  <c r="DH993" i="1"/>
  <c r="DH992" i="1"/>
  <c r="DH991" i="1"/>
  <c r="DH990" i="1"/>
  <c r="DH989" i="1"/>
  <c r="DH988" i="1"/>
  <c r="DH987" i="1"/>
  <c r="DH986" i="1"/>
  <c r="DH985" i="1"/>
  <c r="DH984" i="1"/>
  <c r="DH983" i="1"/>
  <c r="DH982" i="1"/>
  <c r="DH981" i="1"/>
  <c r="DH980" i="1"/>
  <c r="DH979" i="1"/>
  <c r="DH978" i="1"/>
  <c r="DH977" i="1"/>
  <c r="DH976" i="1"/>
  <c r="DH975" i="1"/>
  <c r="DH974" i="1"/>
  <c r="DH973" i="1"/>
  <c r="DH972" i="1"/>
  <c r="DH971" i="1"/>
  <c r="DG1000" i="1"/>
  <c r="DG999" i="1"/>
  <c r="DG998" i="1"/>
  <c r="DG997" i="1"/>
  <c r="DG996" i="1"/>
  <c r="DG995" i="1"/>
  <c r="DG994" i="1"/>
  <c r="DG993" i="1"/>
  <c r="DG992" i="1"/>
  <c r="DG991" i="1"/>
  <c r="DG990" i="1"/>
  <c r="DG989" i="1"/>
  <c r="DG988" i="1"/>
  <c r="DG987" i="1"/>
  <c r="DG986" i="1"/>
  <c r="DG985" i="1"/>
  <c r="DG984" i="1"/>
  <c r="DG983" i="1"/>
  <c r="DG982" i="1"/>
  <c r="DG981" i="1"/>
  <c r="DG980" i="1"/>
  <c r="DG979" i="1"/>
  <c r="DG978" i="1"/>
  <c r="DG977" i="1"/>
  <c r="DG976" i="1"/>
  <c r="DG975" i="1"/>
  <c r="DG974" i="1"/>
  <c r="DG973" i="1"/>
  <c r="DG972" i="1"/>
  <c r="DG971" i="1"/>
  <c r="C7" i="3"/>
  <c r="BH65" i="1" l="1"/>
  <c r="DT1004" i="1"/>
  <c r="DT1019" i="1"/>
  <c r="DS1019" i="1"/>
  <c r="DT1018" i="1"/>
  <c r="DS1018" i="1"/>
  <c r="DT1011" i="1"/>
  <c r="DS1011" i="1"/>
  <c r="DT1010" i="1"/>
  <c r="DS1010" i="1"/>
  <c r="DT1017" i="1"/>
  <c r="DS1017" i="1"/>
  <c r="DT1016" i="1"/>
  <c r="DS1016" i="1"/>
  <c r="DT1009" i="1"/>
  <c r="DT1005" i="1"/>
  <c r="DT1006" i="1"/>
  <c r="DT1007" i="1"/>
  <c r="DT1008" i="1"/>
  <c r="DT1012" i="1"/>
  <c r="DT1013" i="1"/>
  <c r="DT1014" i="1"/>
  <c r="DT1015" i="1"/>
  <c r="DS1004" i="1"/>
  <c r="DS1005" i="1"/>
  <c r="DS1006" i="1"/>
  <c r="DS1007" i="1"/>
  <c r="DS1008" i="1"/>
  <c r="DS1009" i="1"/>
  <c r="DS1012" i="1"/>
  <c r="DS1013" i="1"/>
  <c r="DS1014" i="1"/>
  <c r="DS1015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BI1003" i="1"/>
  <c r="BI1002" i="1"/>
  <c r="BI1001" i="1"/>
  <c r="BH1003" i="1"/>
  <c r="BH1002" i="1"/>
  <c r="BH1001" i="1"/>
  <c r="BL979" i="1"/>
  <c r="BL978" i="1"/>
  <c r="BL977" i="1"/>
  <c r="BL976" i="1"/>
  <c r="BL975" i="1"/>
  <c r="BL974" i="1"/>
  <c r="BL973" i="1"/>
  <c r="BL972" i="1"/>
  <c r="BL971" i="1"/>
  <c r="BK980" i="1"/>
  <c r="BK979" i="1"/>
  <c r="BK978" i="1"/>
  <c r="BK977" i="1"/>
  <c r="BK976" i="1"/>
  <c r="BK975" i="1"/>
  <c r="BK974" i="1"/>
  <c r="BK973" i="1"/>
  <c r="BK972" i="1"/>
  <c r="BK971" i="1"/>
  <c r="AV1000" i="1"/>
  <c r="I1000" i="1"/>
  <c r="H1000" i="1"/>
  <c r="AV999" i="1"/>
  <c r="I999" i="1"/>
  <c r="H999" i="1"/>
  <c r="AU998" i="1"/>
  <c r="AV998" i="1" s="1"/>
  <c r="I998" i="1"/>
  <c r="H998" i="1"/>
  <c r="AV997" i="1"/>
  <c r="I997" i="1"/>
  <c r="H997" i="1"/>
  <c r="AU996" i="1"/>
  <c r="AV996" i="1" s="1"/>
  <c r="I996" i="1"/>
  <c r="H996" i="1"/>
  <c r="AV995" i="1"/>
  <c r="I995" i="1"/>
  <c r="H995" i="1"/>
  <c r="AV994" i="1"/>
  <c r="I994" i="1"/>
  <c r="H994" i="1"/>
  <c r="AU993" i="1"/>
  <c r="AV993" i="1" s="1"/>
  <c r="I993" i="1"/>
  <c r="H993" i="1"/>
  <c r="AV992" i="1"/>
  <c r="I992" i="1"/>
  <c r="H992" i="1"/>
  <c r="AU991" i="1"/>
  <c r="AV991" i="1" s="1"/>
  <c r="I991" i="1"/>
  <c r="H991" i="1"/>
  <c r="AV990" i="1"/>
  <c r="I990" i="1"/>
  <c r="H990" i="1"/>
  <c r="AV989" i="1"/>
  <c r="I989" i="1"/>
  <c r="H989" i="1"/>
  <c r="AU988" i="1"/>
  <c r="AV988" i="1" s="1"/>
  <c r="I988" i="1"/>
  <c r="H988" i="1"/>
  <c r="AV987" i="1"/>
  <c r="I987" i="1"/>
  <c r="H987" i="1"/>
  <c r="AU986" i="1"/>
  <c r="AV986" i="1" s="1"/>
  <c r="I986" i="1"/>
  <c r="H986" i="1"/>
  <c r="AV985" i="1"/>
  <c r="I985" i="1"/>
  <c r="H985" i="1"/>
  <c r="AV984" i="1"/>
  <c r="I984" i="1"/>
  <c r="H984" i="1"/>
  <c r="AU983" i="1"/>
  <c r="AV983" i="1" s="1"/>
  <c r="I983" i="1"/>
  <c r="H983" i="1"/>
  <c r="AV982" i="1"/>
  <c r="I982" i="1"/>
  <c r="H982" i="1"/>
  <c r="AU981" i="1"/>
  <c r="AV981" i="1" s="1"/>
  <c r="I981" i="1"/>
  <c r="H981" i="1"/>
  <c r="AV980" i="1"/>
  <c r="I980" i="1"/>
  <c r="H980" i="1"/>
  <c r="AV979" i="1"/>
  <c r="I979" i="1"/>
  <c r="H979" i="1"/>
  <c r="AU978" i="1"/>
  <c r="AV978" i="1" s="1"/>
  <c r="I978" i="1"/>
  <c r="H978" i="1"/>
  <c r="AV977" i="1"/>
  <c r="I977" i="1"/>
  <c r="H977" i="1"/>
  <c r="AU976" i="1"/>
  <c r="AV976" i="1" s="1"/>
  <c r="I976" i="1"/>
  <c r="H976" i="1"/>
  <c r="AV974" i="1"/>
  <c r="AV975" i="1"/>
  <c r="AV972" i="1"/>
  <c r="AU973" i="1"/>
  <c r="AV973" i="1" s="1"/>
  <c r="AU971" i="1"/>
  <c r="AV971" i="1" s="1"/>
  <c r="J43" i="3"/>
  <c r="I975" i="1"/>
  <c r="H975" i="1"/>
  <c r="I974" i="1"/>
  <c r="H974" i="1"/>
  <c r="I973" i="1"/>
  <c r="H973" i="1"/>
  <c r="I972" i="1"/>
  <c r="H972" i="1"/>
  <c r="I971" i="1"/>
  <c r="H971" i="1"/>
  <c r="BL970" i="1"/>
  <c r="BL968" i="1"/>
  <c r="BL967" i="1"/>
  <c r="BL966" i="1"/>
  <c r="BL964" i="1"/>
  <c r="BL963" i="1"/>
  <c r="BL962" i="1"/>
  <c r="BL960" i="1"/>
  <c r="BL959" i="1"/>
  <c r="BL957" i="1"/>
  <c r="BL956" i="1"/>
  <c r="BL955" i="1"/>
  <c r="BL953" i="1"/>
  <c r="BL952" i="1"/>
  <c r="BL951" i="1"/>
  <c r="BL949" i="1"/>
  <c r="BL948" i="1"/>
  <c r="BL947" i="1"/>
  <c r="BK968" i="1"/>
  <c r="BK970" i="1"/>
  <c r="BK967" i="1"/>
  <c r="BK964" i="1"/>
  <c r="BK966" i="1"/>
  <c r="BK963" i="1"/>
  <c r="BK960" i="1"/>
  <c r="BK962" i="1"/>
  <c r="BK959" i="1"/>
  <c r="BK952" i="1"/>
  <c r="BK953" i="1"/>
  <c r="BK956" i="1"/>
  <c r="BK957" i="1"/>
  <c r="BK955" i="1"/>
  <c r="BK951" i="1"/>
  <c r="BK948" i="1"/>
  <c r="BK949" i="1"/>
  <c r="BK947" i="1"/>
  <c r="DS737" i="1" l="1"/>
  <c r="C71" i="3"/>
  <c r="C72" i="3" s="1"/>
  <c r="G71" i="3"/>
  <c r="ER553" i="1"/>
  <c r="ER552" i="1"/>
  <c r="ER551" i="1"/>
  <c r="ER550" i="1"/>
  <c r="ER549" i="1"/>
  <c r="ER548" i="1"/>
  <c r="ER547" i="1"/>
  <c r="ER546" i="1"/>
  <c r="ER545" i="1"/>
  <c r="ER544" i="1"/>
  <c r="ER543" i="1"/>
  <c r="ER542" i="1"/>
  <c r="ER541" i="1"/>
  <c r="ER540" i="1"/>
  <c r="ER539" i="1"/>
  <c r="ER538" i="1"/>
  <c r="ER537" i="1"/>
  <c r="ER536" i="1"/>
  <c r="ER535" i="1"/>
  <c r="ER534" i="1"/>
  <c r="ER533" i="1"/>
  <c r="ER532" i="1"/>
  <c r="ER531" i="1"/>
  <c r="ER530" i="1"/>
  <c r="EQ549" i="1"/>
  <c r="EQ550" i="1"/>
  <c r="EQ551" i="1"/>
  <c r="EQ552" i="1"/>
  <c r="EQ553" i="1"/>
  <c r="EQ548" i="1"/>
  <c r="EQ543" i="1"/>
  <c r="EQ544" i="1"/>
  <c r="EQ545" i="1"/>
  <c r="EQ546" i="1"/>
  <c r="EQ547" i="1"/>
  <c r="EQ542" i="1"/>
  <c r="EQ537" i="1"/>
  <c r="EQ538" i="1"/>
  <c r="EQ539" i="1"/>
  <c r="EQ540" i="1"/>
  <c r="EQ541" i="1"/>
  <c r="EQ536" i="1"/>
  <c r="EQ531" i="1"/>
  <c r="EQ532" i="1"/>
  <c r="EQ533" i="1"/>
  <c r="EQ534" i="1"/>
  <c r="EQ535" i="1"/>
  <c r="EQ530" i="1"/>
  <c r="C56" i="3"/>
  <c r="E56" i="3" s="1"/>
  <c r="E54" i="3"/>
  <c r="I54" i="3"/>
  <c r="C53" i="3"/>
  <c r="I53" i="3"/>
  <c r="EQ765" i="1"/>
  <c r="H64" i="3"/>
  <c r="BR918" i="1"/>
  <c r="BR917" i="1"/>
  <c r="BQ918" i="1"/>
  <c r="BQ917" i="1"/>
  <c r="BQ914" i="1"/>
  <c r="BQ915" i="1"/>
  <c r="BQ916" i="1"/>
  <c r="BQ913" i="1"/>
  <c r="BR914" i="1"/>
  <c r="BR915" i="1"/>
  <c r="BR916" i="1"/>
  <c r="BR913" i="1"/>
  <c r="C63" i="3"/>
  <c r="E63" i="3" s="1"/>
  <c r="E62" i="3"/>
  <c r="H15" i="4"/>
  <c r="BK914" i="1"/>
  <c r="BK915" i="1"/>
  <c r="BK916" i="1"/>
  <c r="BK913" i="1"/>
  <c r="AV897" i="1"/>
  <c r="AV896" i="1"/>
  <c r="AV895" i="1"/>
  <c r="AV894" i="1"/>
  <c r="AV893" i="1"/>
  <c r="AV892" i="1"/>
  <c r="AV891" i="1"/>
  <c r="AV890" i="1"/>
  <c r="AV889" i="1"/>
  <c r="BH908" i="1"/>
  <c r="BH907" i="1"/>
  <c r="Z890" i="1"/>
  <c r="Z891" i="1"/>
  <c r="Z892" i="1"/>
  <c r="Z893" i="1"/>
  <c r="Z894" i="1"/>
  <c r="Z895" i="1"/>
  <c r="Z896" i="1"/>
  <c r="Z897" i="1"/>
  <c r="Z889" i="1"/>
  <c r="BL898" i="1"/>
  <c r="BK899" i="1"/>
  <c r="BK900" i="1"/>
  <c r="BK898" i="1"/>
  <c r="BH902" i="1"/>
  <c r="BH903" i="1"/>
  <c r="BH901" i="1"/>
  <c r="BH899" i="1"/>
  <c r="BH900" i="1"/>
  <c r="BH898" i="1"/>
  <c r="E71" i="3" l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02" i="1"/>
  <c r="U801" i="1"/>
  <c r="U800" i="1"/>
  <c r="U799" i="1"/>
  <c r="U798" i="1"/>
  <c r="U797" i="1"/>
  <c r="EI798" i="1"/>
  <c r="EI797" i="1"/>
  <c r="EH798" i="1"/>
  <c r="EH797" i="1"/>
  <c r="I796" i="1" l="1"/>
  <c r="H796" i="1"/>
  <c r="I795" i="1"/>
  <c r="H795" i="1"/>
  <c r="I794" i="1"/>
  <c r="H794" i="1"/>
  <c r="I793" i="1"/>
  <c r="H793" i="1"/>
  <c r="I792" i="1"/>
  <c r="H792" i="1"/>
  <c r="I791" i="1"/>
  <c r="H791" i="1"/>
  <c r="DW790" i="1"/>
  <c r="DW789" i="1"/>
  <c r="DV790" i="1"/>
  <c r="DV789" i="1"/>
  <c r="I790" i="1"/>
  <c r="H790" i="1"/>
  <c r="H789" i="1"/>
  <c r="I789" i="1"/>
  <c r="EH769" i="1"/>
  <c r="EH768" i="1"/>
  <c r="EH767" i="1"/>
  <c r="EH766" i="1"/>
  <c r="EH765" i="1"/>
  <c r="EQ788" i="1"/>
  <c r="EQ787" i="1"/>
  <c r="EQ786" i="1"/>
  <c r="EQ785" i="1"/>
  <c r="EQ784" i="1"/>
  <c r="EQ782" i="1"/>
  <c r="EQ781" i="1"/>
  <c r="EQ780" i="1"/>
  <c r="EQ779" i="1"/>
  <c r="EQ778" i="1"/>
  <c r="EQ777" i="1"/>
  <c r="EQ776" i="1"/>
  <c r="EQ775" i="1"/>
  <c r="EQ774" i="1"/>
  <c r="EQ773" i="1"/>
  <c r="EQ772" i="1"/>
  <c r="EQ771" i="1"/>
  <c r="ER788" i="1"/>
  <c r="ER787" i="1"/>
  <c r="ER786" i="1"/>
  <c r="ER785" i="1"/>
  <c r="ER784" i="1"/>
  <c r="ER782" i="1"/>
  <c r="ER781" i="1"/>
  <c r="ER780" i="1"/>
  <c r="ER779" i="1"/>
  <c r="ER778" i="1"/>
  <c r="ER777" i="1"/>
  <c r="ER776" i="1"/>
  <c r="ER775" i="1"/>
  <c r="ER774" i="1"/>
  <c r="ER773" i="1"/>
  <c r="ER772" i="1"/>
  <c r="ER771" i="1"/>
  <c r="EQ770" i="1"/>
  <c r="EQ769" i="1"/>
  <c r="EQ768" i="1"/>
  <c r="ER770" i="1"/>
  <c r="ER769" i="1"/>
  <c r="ER768" i="1"/>
  <c r="ER767" i="1"/>
  <c r="ER766" i="1"/>
  <c r="EQ767" i="1"/>
  <c r="EQ766" i="1"/>
  <c r="ER765" i="1"/>
  <c r="W764" i="1" l="1"/>
  <c r="I764" i="1"/>
  <c r="H764" i="1"/>
  <c r="W763" i="1"/>
  <c r="I763" i="1"/>
  <c r="H763" i="1"/>
  <c r="W762" i="1"/>
  <c r="I762" i="1"/>
  <c r="H762" i="1"/>
  <c r="W761" i="1"/>
  <c r="I761" i="1"/>
  <c r="H761" i="1"/>
  <c r="W760" i="1"/>
  <c r="I760" i="1"/>
  <c r="H760" i="1"/>
  <c r="W759" i="1"/>
  <c r="I759" i="1"/>
  <c r="H759" i="1"/>
  <c r="W758" i="1"/>
  <c r="I758" i="1"/>
  <c r="H758" i="1"/>
  <c r="W757" i="1"/>
  <c r="I757" i="1"/>
  <c r="H757" i="1"/>
  <c r="W756" i="1"/>
  <c r="I756" i="1"/>
  <c r="H756" i="1"/>
  <c r="W755" i="1"/>
  <c r="I755" i="1"/>
  <c r="H755" i="1"/>
  <c r="W754" i="1"/>
  <c r="I754" i="1"/>
  <c r="H754" i="1"/>
  <c r="W753" i="1"/>
  <c r="I753" i="1"/>
  <c r="H753" i="1"/>
  <c r="W752" i="1"/>
  <c r="I752" i="1"/>
  <c r="H752" i="1"/>
  <c r="W751" i="1"/>
  <c r="I751" i="1"/>
  <c r="H751" i="1"/>
  <c r="CG748" i="1"/>
  <c r="CG747" i="1"/>
  <c r="CG746" i="1"/>
  <c r="CG745" i="1"/>
  <c r="CF750" i="1"/>
  <c r="CF749" i="1"/>
  <c r="CF748" i="1"/>
  <c r="CF747" i="1"/>
  <c r="CF746" i="1"/>
  <c r="CF745" i="1"/>
  <c r="BK748" i="1"/>
  <c r="BK745" i="1"/>
  <c r="BC750" i="1"/>
  <c r="BC749" i="1"/>
  <c r="BC748" i="1"/>
  <c r="BC747" i="1"/>
  <c r="BC746" i="1"/>
  <c r="BC745" i="1"/>
  <c r="BB750" i="1"/>
  <c r="BB749" i="1"/>
  <c r="BB748" i="1"/>
  <c r="BB747" i="1"/>
  <c r="BB746" i="1"/>
  <c r="BB745" i="1"/>
  <c r="I750" i="1"/>
  <c r="H750" i="1"/>
  <c r="I749" i="1"/>
  <c r="H749" i="1"/>
  <c r="I747" i="1"/>
  <c r="H747" i="1"/>
  <c r="I746" i="1"/>
  <c r="H746" i="1"/>
  <c r="I748" i="1"/>
  <c r="H748" i="1"/>
  <c r="I745" i="1"/>
  <c r="H745" i="1"/>
  <c r="DT740" i="1"/>
  <c r="DT739" i="1"/>
  <c r="DS740" i="1"/>
  <c r="DS739" i="1"/>
  <c r="DT738" i="1"/>
  <c r="DT737" i="1"/>
  <c r="DS738" i="1"/>
  <c r="EI744" i="1"/>
  <c r="EI742" i="1"/>
  <c r="EI741" i="1"/>
  <c r="EH744" i="1"/>
  <c r="I744" i="1"/>
  <c r="H744" i="1"/>
  <c r="I743" i="1"/>
  <c r="H743" i="1"/>
  <c r="EH742" i="1"/>
  <c r="I742" i="1"/>
  <c r="H742" i="1"/>
  <c r="EH741" i="1"/>
  <c r="I741" i="1"/>
  <c r="H741" i="1"/>
  <c r="EI740" i="1"/>
  <c r="EI739" i="1"/>
  <c r="EI738" i="1"/>
  <c r="EI737" i="1"/>
  <c r="EH740" i="1"/>
  <c r="EH739" i="1"/>
  <c r="EH738" i="1"/>
  <c r="EH737" i="1"/>
  <c r="I740" i="1"/>
  <c r="H740" i="1"/>
  <c r="I739" i="1"/>
  <c r="H739" i="1"/>
  <c r="I738" i="1"/>
  <c r="H738" i="1"/>
  <c r="BB288" i="1"/>
  <c r="V92" i="1"/>
  <c r="I737" i="1"/>
  <c r="H737" i="1"/>
  <c r="DB736" i="1"/>
  <c r="DB735" i="1"/>
  <c r="DB734" i="1"/>
  <c r="DA736" i="1"/>
  <c r="DA735" i="1"/>
  <c r="DA734" i="1"/>
  <c r="BC736" i="1"/>
  <c r="BB736" i="1"/>
  <c r="BB735" i="1"/>
  <c r="BB734" i="1"/>
  <c r="BC735" i="1"/>
  <c r="BC734" i="1"/>
  <c r="I736" i="1"/>
  <c r="H736" i="1"/>
  <c r="I735" i="1"/>
  <c r="H735" i="1"/>
  <c r="I734" i="1"/>
  <c r="H734" i="1"/>
  <c r="BC729" i="1" l="1"/>
  <c r="BC727" i="1"/>
  <c r="BC726" i="1"/>
  <c r="BC725" i="1"/>
  <c r="BC724" i="1"/>
  <c r="BC723" i="1"/>
  <c r="BC722" i="1"/>
  <c r="BB729" i="1"/>
  <c r="BB727" i="1"/>
  <c r="BB726" i="1"/>
  <c r="BB725" i="1"/>
  <c r="BB724" i="1"/>
  <c r="BB723" i="1"/>
  <c r="BB722" i="1"/>
  <c r="BC721" i="1" l="1"/>
  <c r="BC720" i="1"/>
  <c r="BC719" i="1"/>
  <c r="BC718" i="1"/>
  <c r="BC717" i="1"/>
  <c r="BC716" i="1"/>
  <c r="BC715" i="1"/>
  <c r="BC714" i="1"/>
  <c r="BC713" i="1"/>
  <c r="BC712" i="1"/>
  <c r="BC711" i="1"/>
  <c r="BC710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AU709" i="1"/>
  <c r="AV709" i="1" s="1"/>
  <c r="AU708" i="1"/>
  <c r="AV708" i="1" s="1"/>
  <c r="AU707" i="1"/>
  <c r="AV707" i="1" s="1"/>
  <c r="AU706" i="1"/>
  <c r="AV706" i="1" s="1"/>
  <c r="AU705" i="1"/>
  <c r="AV705" i="1" s="1"/>
  <c r="AU704" i="1"/>
  <c r="AV704" i="1" s="1"/>
  <c r="AU703" i="1"/>
  <c r="AV703" i="1" s="1"/>
  <c r="BC709" i="1"/>
  <c r="BC708" i="1"/>
  <c r="BC707" i="1"/>
  <c r="BC706" i="1"/>
  <c r="BC705" i="1"/>
  <c r="BC703" i="1"/>
  <c r="BC704" i="1"/>
  <c r="BC702" i="1"/>
  <c r="BB709" i="1"/>
  <c r="BB708" i="1"/>
  <c r="BB707" i="1"/>
  <c r="BB706" i="1"/>
  <c r="BB705" i="1"/>
  <c r="BB704" i="1"/>
  <c r="BB703" i="1"/>
  <c r="BB702" i="1"/>
  <c r="BL702" i="1"/>
  <c r="BL709" i="1"/>
  <c r="BL708" i="1"/>
  <c r="BL707" i="1"/>
  <c r="BL706" i="1"/>
  <c r="BL705" i="1"/>
  <c r="BL703" i="1"/>
  <c r="BL704" i="1"/>
  <c r="BL701" i="1"/>
  <c r="BL700" i="1"/>
  <c r="BK709" i="1"/>
  <c r="BK708" i="1"/>
  <c r="BK707" i="1"/>
  <c r="BK706" i="1"/>
  <c r="BK705" i="1"/>
  <c r="BK704" i="1"/>
  <c r="BK703" i="1"/>
  <c r="BK702" i="1"/>
  <c r="BK701" i="1"/>
  <c r="BK70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BC694" i="1"/>
  <c r="BC695" i="1"/>
  <c r="BB695" i="1"/>
  <c r="BB694" i="1"/>
  <c r="CY607" i="1"/>
  <c r="CY605" i="1"/>
  <c r="CY603" i="1"/>
  <c r="CY601" i="1"/>
  <c r="CY599" i="1"/>
  <c r="CY597" i="1"/>
  <c r="CY595" i="1"/>
  <c r="CY593" i="1"/>
  <c r="CY591" i="1"/>
  <c r="CY589" i="1"/>
  <c r="CY587" i="1"/>
  <c r="CY585" i="1"/>
  <c r="CX607" i="1"/>
  <c r="CX605" i="1"/>
  <c r="CX603" i="1"/>
  <c r="CX601" i="1"/>
  <c r="CX599" i="1"/>
  <c r="CX597" i="1"/>
  <c r="CX595" i="1"/>
  <c r="CX593" i="1"/>
  <c r="CX591" i="1"/>
  <c r="CX589" i="1"/>
  <c r="CX587" i="1"/>
  <c r="CX585" i="1"/>
  <c r="CY606" i="1"/>
  <c r="CY604" i="1"/>
  <c r="CY602" i="1"/>
  <c r="CY600" i="1"/>
  <c r="CY598" i="1"/>
  <c r="CY596" i="1"/>
  <c r="CY594" i="1"/>
  <c r="CY590" i="1"/>
  <c r="CY588" i="1"/>
  <c r="CY586" i="1"/>
  <c r="CY584" i="1"/>
  <c r="CY592" i="1"/>
  <c r="CX598" i="1"/>
  <c r="CX606" i="1"/>
  <c r="CX604" i="1"/>
  <c r="CX602" i="1"/>
  <c r="CX600" i="1"/>
  <c r="CX596" i="1"/>
  <c r="CX594" i="1"/>
  <c r="CX592" i="1"/>
  <c r="CX590" i="1"/>
  <c r="CX588" i="1"/>
  <c r="CX586" i="1"/>
  <c r="CX584" i="1"/>
  <c r="CY583" i="1"/>
  <c r="CY581" i="1"/>
  <c r="CY579" i="1"/>
  <c r="CY575" i="1"/>
  <c r="CY573" i="1"/>
  <c r="CY571" i="1"/>
  <c r="CY569" i="1"/>
  <c r="CY567" i="1"/>
  <c r="CX583" i="1"/>
  <c r="CX581" i="1"/>
  <c r="CX579" i="1"/>
  <c r="CX575" i="1"/>
  <c r="CX573" i="1"/>
  <c r="CX569" i="1"/>
  <c r="CX567" i="1"/>
  <c r="CY582" i="1"/>
  <c r="CY580" i="1"/>
  <c r="CY578" i="1"/>
  <c r="CY574" i="1"/>
  <c r="CY572" i="1"/>
  <c r="CY570" i="1"/>
  <c r="CY568" i="1"/>
  <c r="CY566" i="1"/>
  <c r="CX582" i="1"/>
  <c r="CX580" i="1"/>
  <c r="CX578" i="1"/>
  <c r="CX574" i="1"/>
  <c r="CX572" i="1"/>
  <c r="CX568" i="1"/>
  <c r="CX566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 l="1"/>
  <c r="H566" i="1"/>
  <c r="CF65" i="1"/>
  <c r="CG97" i="1"/>
  <c r="CG96" i="1"/>
  <c r="CG95" i="1"/>
  <c r="CG94" i="1"/>
  <c r="CG93" i="1"/>
  <c r="CG92" i="1"/>
  <c r="CF97" i="1"/>
  <c r="CF96" i="1"/>
  <c r="CF95" i="1"/>
  <c r="CF94" i="1"/>
  <c r="CF93" i="1"/>
  <c r="CF92" i="1"/>
  <c r="CF436" i="1"/>
  <c r="CF435" i="1"/>
  <c r="CF434" i="1"/>
  <c r="CF433" i="1"/>
  <c r="DH225" i="1"/>
  <c r="DH224" i="1"/>
  <c r="DH223" i="1"/>
  <c r="DG224" i="1"/>
  <c r="DG225" i="1"/>
  <c r="DG223" i="1"/>
  <c r="DH128" i="1"/>
  <c r="DG128" i="1"/>
  <c r="Y565" i="1"/>
  <c r="U565" i="1"/>
  <c r="I565" i="1"/>
  <c r="H565" i="1"/>
  <c r="Y564" i="1"/>
  <c r="U564" i="1"/>
  <c r="I564" i="1"/>
  <c r="H564" i="1"/>
  <c r="Y563" i="1"/>
  <c r="U563" i="1"/>
  <c r="I563" i="1"/>
  <c r="H563" i="1"/>
  <c r="Y562" i="1"/>
  <c r="U562" i="1"/>
  <c r="I562" i="1"/>
  <c r="H562" i="1"/>
  <c r="Y561" i="1"/>
  <c r="U561" i="1"/>
  <c r="I561" i="1"/>
  <c r="H561" i="1"/>
  <c r="Y560" i="1"/>
  <c r="U560" i="1"/>
  <c r="I560" i="1"/>
  <c r="H560" i="1"/>
  <c r="Y559" i="1"/>
  <c r="U559" i="1"/>
  <c r="I559" i="1"/>
  <c r="H559" i="1"/>
  <c r="Y558" i="1"/>
  <c r="U558" i="1"/>
  <c r="I558" i="1"/>
  <c r="H558" i="1"/>
  <c r="Y557" i="1"/>
  <c r="U557" i="1"/>
  <c r="I557" i="1"/>
  <c r="H557" i="1"/>
  <c r="Y556" i="1"/>
  <c r="U556" i="1"/>
  <c r="I556" i="1"/>
  <c r="H556" i="1"/>
  <c r="Y555" i="1"/>
  <c r="U555" i="1"/>
  <c r="I555" i="1"/>
  <c r="H555" i="1"/>
  <c r="Y554" i="1"/>
  <c r="U554" i="1"/>
  <c r="I554" i="1"/>
  <c r="H554" i="1"/>
  <c r="Y553" i="1"/>
  <c r="U553" i="1"/>
  <c r="I553" i="1"/>
  <c r="H553" i="1"/>
  <c r="Y552" i="1"/>
  <c r="U552" i="1"/>
  <c r="I552" i="1"/>
  <c r="H552" i="1"/>
  <c r="Y551" i="1"/>
  <c r="U551" i="1"/>
  <c r="I551" i="1"/>
  <c r="H551" i="1"/>
  <c r="Y550" i="1"/>
  <c r="U550" i="1"/>
  <c r="I550" i="1"/>
  <c r="H550" i="1"/>
  <c r="Y549" i="1"/>
  <c r="U549" i="1"/>
  <c r="I549" i="1"/>
  <c r="H549" i="1"/>
  <c r="Y548" i="1"/>
  <c r="U548" i="1"/>
  <c r="I548" i="1"/>
  <c r="H548" i="1"/>
  <c r="Y547" i="1"/>
  <c r="U547" i="1"/>
  <c r="I547" i="1"/>
  <c r="H547" i="1"/>
  <c r="Y546" i="1"/>
  <c r="U546" i="1"/>
  <c r="I546" i="1"/>
  <c r="H546" i="1"/>
  <c r="Y545" i="1"/>
  <c r="U545" i="1"/>
  <c r="I545" i="1"/>
  <c r="H545" i="1"/>
  <c r="Y544" i="1"/>
  <c r="U544" i="1"/>
  <c r="I544" i="1"/>
  <c r="H544" i="1"/>
  <c r="Y543" i="1"/>
  <c r="U543" i="1"/>
  <c r="I543" i="1"/>
  <c r="H543" i="1"/>
  <c r="Y542" i="1"/>
  <c r="U542" i="1"/>
  <c r="I542" i="1"/>
  <c r="H542" i="1"/>
  <c r="Y541" i="1"/>
  <c r="U541" i="1"/>
  <c r="I541" i="1"/>
  <c r="H541" i="1"/>
  <c r="Y540" i="1"/>
  <c r="U540" i="1"/>
  <c r="I540" i="1"/>
  <c r="H540" i="1"/>
  <c r="Y539" i="1"/>
  <c r="U539" i="1"/>
  <c r="I539" i="1"/>
  <c r="H539" i="1"/>
  <c r="Y538" i="1"/>
  <c r="U538" i="1"/>
  <c r="I538" i="1"/>
  <c r="H538" i="1"/>
  <c r="Y537" i="1"/>
  <c r="U537" i="1"/>
  <c r="I537" i="1"/>
  <c r="H537" i="1"/>
  <c r="Y536" i="1"/>
  <c r="U536" i="1"/>
  <c r="I536" i="1"/>
  <c r="H536" i="1"/>
  <c r="Y535" i="1"/>
  <c r="U535" i="1"/>
  <c r="I535" i="1"/>
  <c r="H535" i="1"/>
  <c r="Y534" i="1"/>
  <c r="U534" i="1"/>
  <c r="I534" i="1"/>
  <c r="H534" i="1"/>
  <c r="Y533" i="1"/>
  <c r="U533" i="1"/>
  <c r="I533" i="1"/>
  <c r="H533" i="1"/>
  <c r="Y532" i="1"/>
  <c r="U532" i="1"/>
  <c r="I532" i="1"/>
  <c r="H532" i="1"/>
  <c r="Y531" i="1"/>
  <c r="U531" i="1"/>
  <c r="I531" i="1"/>
  <c r="H531" i="1"/>
  <c r="Y530" i="1"/>
  <c r="U530" i="1"/>
  <c r="I530" i="1"/>
  <c r="H530" i="1"/>
  <c r="CS529" i="1"/>
  <c r="CS528" i="1"/>
  <c r="CS527" i="1"/>
  <c r="CR529" i="1"/>
  <c r="CR528" i="1"/>
  <c r="CR527" i="1"/>
  <c r="T10" i="4"/>
  <c r="T11" i="4"/>
  <c r="T12" i="4"/>
  <c r="T13" i="4"/>
  <c r="T9" i="4"/>
  <c r="Z528" i="1"/>
  <c r="Z529" i="1"/>
  <c r="Z527" i="1"/>
  <c r="Y529" i="1"/>
  <c r="W529" i="1"/>
  <c r="V529" i="1" s="1"/>
  <c r="I529" i="1"/>
  <c r="H529" i="1"/>
  <c r="Y528" i="1"/>
  <c r="W528" i="1"/>
  <c r="V528" i="1" s="1"/>
  <c r="I528" i="1"/>
  <c r="H528" i="1"/>
  <c r="Y527" i="1"/>
  <c r="W527" i="1"/>
  <c r="V527" i="1" s="1"/>
  <c r="I527" i="1"/>
  <c r="H527" i="1"/>
  <c r="I526" i="1"/>
  <c r="H526" i="1"/>
  <c r="I525" i="1"/>
  <c r="H525" i="1"/>
  <c r="I524" i="1"/>
  <c r="H524" i="1"/>
  <c r="DM522" i="1"/>
  <c r="DM523" i="1"/>
  <c r="DM521" i="1"/>
  <c r="I523" i="1"/>
  <c r="H523" i="1"/>
  <c r="I522" i="1"/>
  <c r="H522" i="1"/>
  <c r="I521" i="1"/>
  <c r="H521" i="1"/>
  <c r="AU479" i="1"/>
  <c r="AV479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481" i="1"/>
  <c r="AV481" i="1" s="1"/>
  <c r="AU480" i="1"/>
  <c r="AV480" i="1" s="1"/>
  <c r="AU478" i="1"/>
  <c r="AV478" i="1" s="1"/>
  <c r="AU477" i="1"/>
  <c r="AV477" i="1" s="1"/>
  <c r="AU476" i="1"/>
  <c r="AV476" i="1" s="1"/>
  <c r="AU475" i="1"/>
  <c r="AV475" i="1" s="1"/>
  <c r="AU474" i="1"/>
  <c r="AV474" i="1" s="1"/>
  <c r="AU473" i="1"/>
  <c r="AV473" i="1" s="1"/>
  <c r="AU472" i="1"/>
  <c r="AV472" i="1" s="1"/>
  <c r="AU471" i="1"/>
  <c r="AV471" i="1" s="1"/>
  <c r="AU470" i="1"/>
  <c r="AV470" i="1" s="1"/>
  <c r="AU469" i="1"/>
  <c r="AV469" i="1" s="1"/>
  <c r="AU468" i="1"/>
  <c r="AV468" i="1" s="1"/>
  <c r="AU467" i="1"/>
  <c r="AV467" i="1" s="1"/>
  <c r="AU466" i="1"/>
  <c r="AV466" i="1" s="1"/>
  <c r="AU465" i="1"/>
  <c r="AV465" i="1" s="1"/>
  <c r="AU464" i="1"/>
  <c r="AV464" i="1" s="1"/>
  <c r="AU463" i="1"/>
  <c r="AV463" i="1" s="1"/>
  <c r="AU462" i="1"/>
  <c r="AV462" i="1" s="1"/>
  <c r="AU461" i="1"/>
  <c r="AV461" i="1" s="1"/>
  <c r="AU460" i="1"/>
  <c r="AV460" i="1" s="1"/>
  <c r="AU459" i="1"/>
  <c r="AV459" i="1" s="1"/>
  <c r="AU458" i="1"/>
  <c r="AV458" i="1" s="1"/>
  <c r="AU457" i="1"/>
  <c r="AV457" i="1" s="1"/>
  <c r="AU456" i="1"/>
  <c r="AV456" i="1" s="1"/>
  <c r="AU455" i="1"/>
  <c r="AV455" i="1" s="1"/>
  <c r="AU454" i="1"/>
  <c r="AV454" i="1" s="1"/>
  <c r="AU453" i="1"/>
  <c r="AV453" i="1" s="1"/>
  <c r="AU452" i="1"/>
  <c r="AV452" i="1" s="1"/>
  <c r="AU451" i="1"/>
  <c r="AV451" i="1" s="1"/>
  <c r="AU450" i="1"/>
  <c r="AV450" i="1" s="1"/>
  <c r="AU449" i="1"/>
  <c r="AV449" i="1" s="1"/>
  <c r="AU448" i="1"/>
  <c r="AV448" i="1" s="1"/>
  <c r="AU447" i="1"/>
  <c r="AV447" i="1" s="1"/>
  <c r="AU446" i="1"/>
  <c r="AV446" i="1" s="1"/>
  <c r="AU445" i="1"/>
  <c r="AV445" i="1" s="1"/>
  <c r="AU444" i="1"/>
  <c r="AV444" i="1" s="1"/>
  <c r="AU443" i="1"/>
  <c r="AV443" i="1" s="1"/>
  <c r="AU442" i="1"/>
  <c r="AV442" i="1" s="1"/>
  <c r="AU441" i="1"/>
  <c r="AV441" i="1" s="1"/>
  <c r="AU440" i="1"/>
  <c r="AV440" i="1" s="1"/>
  <c r="AU439" i="1"/>
  <c r="AV439" i="1" s="1"/>
  <c r="AU438" i="1"/>
  <c r="AV438" i="1" s="1"/>
  <c r="AU437" i="1"/>
  <c r="AV437" i="1" s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I480" i="1"/>
  <c r="H480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I438" i="1"/>
  <c r="H438" i="1"/>
  <c r="I437" i="1"/>
  <c r="H437" i="1"/>
  <c r="I479" i="1"/>
  <c r="H479" i="1"/>
  <c r="BH433" i="1" l="1"/>
  <c r="W436" i="1"/>
  <c r="V436" i="1"/>
  <c r="I436" i="1"/>
  <c r="H436" i="1"/>
  <c r="W435" i="1"/>
  <c r="V435" i="1"/>
  <c r="I435" i="1"/>
  <c r="H435" i="1"/>
  <c r="W434" i="1"/>
  <c r="V434" i="1"/>
  <c r="I434" i="1"/>
  <c r="H434" i="1"/>
  <c r="W433" i="1"/>
  <c r="V433" i="1"/>
  <c r="H433" i="1"/>
  <c r="I433" i="1"/>
  <c r="E47" i="3"/>
  <c r="BH425" i="1"/>
  <c r="BH426" i="1"/>
  <c r="BH424" i="1"/>
  <c r="CS430" i="1"/>
  <c r="CS427" i="1"/>
  <c r="CS424" i="1"/>
  <c r="CR430" i="1"/>
  <c r="CR427" i="1"/>
  <c r="CR424" i="1"/>
  <c r="BF424" i="1"/>
  <c r="BE424" i="1"/>
  <c r="AU432" i="1"/>
  <c r="AV432" i="1" s="1"/>
  <c r="AU431" i="1"/>
  <c r="AV431" i="1" s="1"/>
  <c r="AU430" i="1"/>
  <c r="AV430" i="1" s="1"/>
  <c r="AU429" i="1"/>
  <c r="AV429" i="1" s="1"/>
  <c r="AU428" i="1"/>
  <c r="AV428" i="1" s="1"/>
  <c r="AU427" i="1"/>
  <c r="AV427" i="1" s="1"/>
  <c r="AU426" i="1"/>
  <c r="AV426" i="1" s="1"/>
  <c r="AU425" i="1"/>
  <c r="AV425" i="1" s="1"/>
  <c r="AU424" i="1"/>
  <c r="AV424" i="1" s="1"/>
  <c r="BC432" i="1"/>
  <c r="BC431" i="1"/>
  <c r="BC430" i="1"/>
  <c r="BC429" i="1"/>
  <c r="BC428" i="1"/>
  <c r="BC427" i="1"/>
  <c r="BC426" i="1"/>
  <c r="BC425" i="1"/>
  <c r="BC424" i="1"/>
  <c r="BB431" i="1"/>
  <c r="BB432" i="1"/>
  <c r="BB430" i="1"/>
  <c r="BB428" i="1"/>
  <c r="BB429" i="1"/>
  <c r="BB427" i="1"/>
  <c r="BB425" i="1"/>
  <c r="BB426" i="1"/>
  <c r="BB424" i="1"/>
  <c r="U432" i="1"/>
  <c r="U431" i="1"/>
  <c r="U430" i="1"/>
  <c r="U429" i="1"/>
  <c r="U428" i="1"/>
  <c r="U427" i="1"/>
  <c r="U426" i="1"/>
  <c r="U425" i="1"/>
  <c r="U424" i="1"/>
  <c r="I331" i="1" l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E46" i="3"/>
  <c r="BK226" i="1"/>
  <c r="BK299" i="1"/>
  <c r="BK300" i="1"/>
  <c r="BK301" i="1"/>
  <c r="BK302" i="1"/>
  <c r="BK298" i="1"/>
  <c r="BK294" i="1"/>
  <c r="BK295" i="1"/>
  <c r="BK296" i="1"/>
  <c r="BK297" i="1"/>
  <c r="BK293" i="1"/>
  <c r="BK289" i="1"/>
  <c r="BK290" i="1"/>
  <c r="BK291" i="1"/>
  <c r="BK292" i="1"/>
  <c r="BK288" i="1"/>
  <c r="E44" i="3"/>
  <c r="E45" i="3"/>
  <c r="BH66" i="1"/>
  <c r="BH67" i="1"/>
  <c r="BH68" i="1"/>
  <c r="BH69" i="1"/>
  <c r="BH70" i="1"/>
  <c r="BH71" i="1"/>
  <c r="BH72" i="1"/>
  <c r="BH74" i="1"/>
  <c r="BH75" i="1"/>
  <c r="BH76" i="1"/>
  <c r="BH77" i="1"/>
  <c r="BH78" i="1"/>
  <c r="BH79" i="1"/>
  <c r="BH80" i="1"/>
  <c r="BH73" i="1"/>
  <c r="BH289" i="1"/>
  <c r="BH290" i="1"/>
  <c r="BH291" i="1"/>
  <c r="BH292" i="1"/>
  <c r="BH28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B314" i="1"/>
  <c r="BB315" i="1"/>
  <c r="BB316" i="1"/>
  <c r="BB317" i="1"/>
  <c r="BB313" i="1"/>
  <c r="BB309" i="1"/>
  <c r="BB310" i="1"/>
  <c r="BB311" i="1"/>
  <c r="BB312" i="1"/>
  <c r="BB308" i="1"/>
  <c r="BB304" i="1"/>
  <c r="BB305" i="1"/>
  <c r="BB306" i="1"/>
  <c r="BB307" i="1"/>
  <c r="BB303" i="1"/>
  <c r="BB299" i="1"/>
  <c r="BB300" i="1"/>
  <c r="BB301" i="1"/>
  <c r="BB302" i="1"/>
  <c r="BB298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B294" i="1"/>
  <c r="BB295" i="1"/>
  <c r="BB296" i="1"/>
  <c r="BB297" i="1"/>
  <c r="BB293" i="1"/>
  <c r="BB289" i="1"/>
  <c r="BB290" i="1"/>
  <c r="BB291" i="1"/>
  <c r="BB292" i="1"/>
  <c r="ER168" i="1"/>
  <c r="ER169" i="1"/>
  <c r="ER170" i="1"/>
  <c r="ER171" i="1"/>
  <c r="ER167" i="1"/>
  <c r="ER163" i="1"/>
  <c r="ER164" i="1"/>
  <c r="ER165" i="1"/>
  <c r="ER166" i="1"/>
  <c r="ER162" i="1"/>
  <c r="ER158" i="1"/>
  <c r="ER159" i="1"/>
  <c r="ER160" i="1"/>
  <c r="ER161" i="1"/>
  <c r="ER157" i="1"/>
  <c r="ER153" i="1"/>
  <c r="ER154" i="1"/>
  <c r="ER155" i="1"/>
  <c r="ER156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64" i="3"/>
  <c r="L55" i="3"/>
  <c r="C55" i="3" s="1"/>
  <c r="E55" i="3" s="1"/>
  <c r="DO241" i="1" l="1"/>
  <c r="DO242" i="1"/>
  <c r="DO258" i="1"/>
  <c r="DO259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43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E43" i="3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43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26" i="1"/>
  <c r="DN222" i="1"/>
  <c r="DN221" i="1"/>
  <c r="DN220" i="1"/>
  <c r="DN219" i="1"/>
  <c r="DN218" i="1"/>
  <c r="DN217" i="1"/>
  <c r="DM222" i="1"/>
  <c r="DM221" i="1"/>
  <c r="DM220" i="1"/>
  <c r="DM219" i="1"/>
  <c r="DM218" i="1"/>
  <c r="DM217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U224" i="1"/>
  <c r="U225" i="1"/>
  <c r="U223" i="1"/>
  <c r="CS225" i="1"/>
  <c r="CS224" i="1"/>
  <c r="CS223" i="1"/>
  <c r="CR224" i="1"/>
  <c r="CR225" i="1"/>
  <c r="CR223" i="1"/>
  <c r="CJ225" i="1"/>
  <c r="CJ224" i="1"/>
  <c r="CJ223" i="1"/>
  <c r="CI224" i="1"/>
  <c r="CI225" i="1"/>
  <c r="CI223" i="1"/>
  <c r="CM225" i="1"/>
  <c r="CM224" i="1"/>
  <c r="CM223" i="1"/>
  <c r="CL225" i="1"/>
  <c r="CL224" i="1"/>
  <c r="CL223" i="1"/>
  <c r="BF225" i="1"/>
  <c r="BF224" i="1"/>
  <c r="BF223" i="1"/>
  <c r="BE224" i="1"/>
  <c r="BE225" i="1"/>
  <c r="BE223" i="1"/>
  <c r="AU217" i="1"/>
  <c r="BC222" i="1"/>
  <c r="BC221" i="1"/>
  <c r="BC220" i="1"/>
  <c r="BC219" i="1"/>
  <c r="BB222" i="1"/>
  <c r="BB221" i="1"/>
  <c r="BB220" i="1"/>
  <c r="BB219" i="1"/>
  <c r="I222" i="1"/>
  <c r="H222" i="1"/>
  <c r="I221" i="1"/>
  <c r="H221" i="1"/>
  <c r="BC218" i="1"/>
  <c r="BC217" i="1"/>
  <c r="BB218" i="1"/>
  <c r="BB217" i="1"/>
  <c r="I218" i="1"/>
  <c r="H218" i="1"/>
  <c r="I217" i="1"/>
  <c r="H217" i="1"/>
  <c r="AV163" i="1"/>
  <c r="AV164" i="1"/>
  <c r="AV165" i="1"/>
  <c r="AV166" i="1"/>
  <c r="AV167" i="1"/>
  <c r="AV168" i="1"/>
  <c r="AV169" i="1"/>
  <c r="AV170" i="1"/>
  <c r="AV171" i="1"/>
  <c r="AV162" i="1"/>
  <c r="AV153" i="1"/>
  <c r="AV154" i="1"/>
  <c r="AV155" i="1"/>
  <c r="AV156" i="1"/>
  <c r="AV157" i="1"/>
  <c r="AV158" i="1"/>
  <c r="AV159" i="1"/>
  <c r="AV160" i="1"/>
  <c r="AV161" i="1"/>
  <c r="AV152" i="1"/>
  <c r="AT163" i="1"/>
  <c r="AT164" i="1"/>
  <c r="AT165" i="1"/>
  <c r="AT166" i="1"/>
  <c r="AT167" i="1"/>
  <c r="AT168" i="1"/>
  <c r="AT169" i="1"/>
  <c r="AT170" i="1"/>
  <c r="AT171" i="1"/>
  <c r="AT162" i="1"/>
  <c r="AT153" i="1"/>
  <c r="AT154" i="1"/>
  <c r="AT155" i="1"/>
  <c r="AT156" i="1"/>
  <c r="AT157" i="1"/>
  <c r="AT158" i="1"/>
  <c r="AT159" i="1"/>
  <c r="AT160" i="1"/>
  <c r="AT161" i="1"/>
  <c r="AT152" i="1"/>
  <c r="EI168" i="1"/>
  <c r="EI169" i="1"/>
  <c r="EI170" i="1"/>
  <c r="EI171" i="1"/>
  <c r="EI167" i="1"/>
  <c r="EI163" i="1"/>
  <c r="EI164" i="1"/>
  <c r="EI165" i="1"/>
  <c r="EI166" i="1"/>
  <c r="EI162" i="1"/>
  <c r="BI168" i="1"/>
  <c r="BL168" i="1" s="1"/>
  <c r="BI169" i="1"/>
  <c r="BL169" i="1" s="1"/>
  <c r="BI170" i="1"/>
  <c r="BL170" i="1" s="1"/>
  <c r="BI171" i="1"/>
  <c r="BL171" i="1" s="1"/>
  <c r="BI167" i="1"/>
  <c r="BL167" i="1" s="1"/>
  <c r="BI163" i="1"/>
  <c r="BL163" i="1" s="1"/>
  <c r="BI164" i="1"/>
  <c r="BL164" i="1" s="1"/>
  <c r="BI165" i="1"/>
  <c r="BL165" i="1" s="1"/>
  <c r="BI166" i="1"/>
  <c r="BL166" i="1" s="1"/>
  <c r="BI162" i="1"/>
  <c r="BL162" i="1" s="1"/>
  <c r="EH171" i="1"/>
  <c r="BH171" i="1"/>
  <c r="BK171" i="1" s="1"/>
  <c r="U171" i="1"/>
  <c r="I171" i="1"/>
  <c r="EH170" i="1"/>
  <c r="BH170" i="1"/>
  <c r="BK170" i="1" s="1"/>
  <c r="U170" i="1"/>
  <c r="I170" i="1"/>
  <c r="EH169" i="1"/>
  <c r="BH169" i="1"/>
  <c r="BK169" i="1" s="1"/>
  <c r="U169" i="1"/>
  <c r="I169" i="1"/>
  <c r="EH168" i="1"/>
  <c r="BH168" i="1"/>
  <c r="BK168" i="1" s="1"/>
  <c r="U168" i="1"/>
  <c r="I168" i="1"/>
  <c r="EH167" i="1"/>
  <c r="BH167" i="1"/>
  <c r="BK167" i="1" s="1"/>
  <c r="U167" i="1"/>
  <c r="I167" i="1"/>
  <c r="EH166" i="1"/>
  <c r="BH166" i="1"/>
  <c r="BK166" i="1" s="1"/>
  <c r="U166" i="1"/>
  <c r="I166" i="1"/>
  <c r="EH165" i="1"/>
  <c r="BH165" i="1"/>
  <c r="BK165" i="1" s="1"/>
  <c r="U165" i="1"/>
  <c r="I165" i="1"/>
  <c r="EH164" i="1"/>
  <c r="BH164" i="1"/>
  <c r="BK164" i="1" s="1"/>
  <c r="U164" i="1"/>
  <c r="I164" i="1"/>
  <c r="EH163" i="1"/>
  <c r="BH163" i="1"/>
  <c r="BK163" i="1" s="1"/>
  <c r="U163" i="1"/>
  <c r="I163" i="1"/>
  <c r="EH162" i="1"/>
  <c r="BH162" i="1"/>
  <c r="BK162" i="1" s="1"/>
  <c r="U162" i="1"/>
  <c r="I162" i="1"/>
  <c r="EI158" i="1"/>
  <c r="EI159" i="1"/>
  <c r="EI160" i="1"/>
  <c r="EI161" i="1"/>
  <c r="EI157" i="1"/>
  <c r="EH157" i="1"/>
  <c r="EH161" i="1"/>
  <c r="EH160" i="1"/>
  <c r="EH159" i="1"/>
  <c r="EH158" i="1"/>
  <c r="BI158" i="1"/>
  <c r="BL158" i="1" s="1"/>
  <c r="BI159" i="1"/>
  <c r="BL159" i="1" s="1"/>
  <c r="BI160" i="1"/>
  <c r="BL160" i="1" s="1"/>
  <c r="BI161" i="1"/>
  <c r="BL161" i="1" s="1"/>
  <c r="BI157" i="1"/>
  <c r="BL157" i="1" s="1"/>
  <c r="BH161" i="1"/>
  <c r="BK161" i="1" s="1"/>
  <c r="U161" i="1"/>
  <c r="I161" i="1"/>
  <c r="BH160" i="1"/>
  <c r="BK160" i="1" s="1"/>
  <c r="U160" i="1"/>
  <c r="I160" i="1"/>
  <c r="BH159" i="1"/>
  <c r="BK159" i="1" s="1"/>
  <c r="U159" i="1"/>
  <c r="I159" i="1"/>
  <c r="BH158" i="1"/>
  <c r="BK158" i="1" s="1"/>
  <c r="U158" i="1"/>
  <c r="I158" i="1"/>
  <c r="BH157" i="1"/>
  <c r="BK157" i="1" s="1"/>
  <c r="U157" i="1"/>
  <c r="I157" i="1"/>
  <c r="BL153" i="1"/>
  <c r="BI154" i="1"/>
  <c r="BL154" i="1" s="1"/>
  <c r="BI155" i="1"/>
  <c r="BL155" i="1" s="1"/>
  <c r="BI156" i="1"/>
  <c r="BL156" i="1" s="1"/>
  <c r="BL152" i="1"/>
  <c r="BH156" i="1"/>
  <c r="BK156" i="1" s="1"/>
  <c r="BH155" i="1"/>
  <c r="BK155" i="1" s="1"/>
  <c r="BH154" i="1"/>
  <c r="BK154" i="1" s="1"/>
  <c r="BH153" i="1"/>
  <c r="BK153" i="1" s="1"/>
  <c r="BH152" i="1"/>
  <c r="BK152" i="1" s="1"/>
  <c r="EI153" i="1"/>
  <c r="EI154" i="1"/>
  <c r="EI155" i="1"/>
  <c r="EI156" i="1"/>
  <c r="EI152" i="1"/>
  <c r="EH156" i="1"/>
  <c r="EH155" i="1"/>
  <c r="EH154" i="1"/>
  <c r="EH153" i="1"/>
  <c r="EH152" i="1"/>
  <c r="U153" i="1"/>
  <c r="U154" i="1"/>
  <c r="U155" i="1"/>
  <c r="U156" i="1"/>
  <c r="U152" i="1"/>
  <c r="I156" i="1"/>
  <c r="I155" i="1"/>
  <c r="I154" i="1"/>
  <c r="I153" i="1"/>
  <c r="I152" i="1"/>
  <c r="BC151" i="1"/>
  <c r="BC150" i="1"/>
  <c r="BC149" i="1"/>
  <c r="BC148" i="1"/>
  <c r="BC147" i="1"/>
  <c r="BC146" i="1"/>
  <c r="BB151" i="1"/>
  <c r="BB150" i="1"/>
  <c r="BB149" i="1"/>
  <c r="BB148" i="1"/>
  <c r="BB147" i="1"/>
  <c r="BB146" i="1"/>
  <c r="BC145" i="1"/>
  <c r="BC144" i="1"/>
  <c r="BC143" i="1"/>
  <c r="BC142" i="1"/>
  <c r="BC140" i="1"/>
  <c r="BB145" i="1"/>
  <c r="BB144" i="1"/>
  <c r="BB143" i="1"/>
  <c r="BB142" i="1"/>
  <c r="BB140" i="1"/>
  <c r="BC138" i="1"/>
  <c r="BC139" i="1"/>
  <c r="BC137" i="1"/>
  <c r="BC136" i="1"/>
  <c r="BC135" i="1"/>
  <c r="BC134" i="1"/>
  <c r="BB139" i="1"/>
  <c r="BB138" i="1"/>
  <c r="BB137" i="1"/>
  <c r="BB136" i="1"/>
  <c r="BB135" i="1"/>
  <c r="BB134" i="1"/>
  <c r="BC133" i="1"/>
  <c r="BC132" i="1"/>
  <c r="BC131" i="1"/>
  <c r="BB133" i="1"/>
  <c r="BB132" i="1"/>
  <c r="BB131" i="1"/>
  <c r="BC130" i="1"/>
  <c r="BC129" i="1"/>
  <c r="BC128" i="1"/>
  <c r="BB130" i="1"/>
  <c r="BB129" i="1"/>
  <c r="BB128" i="1"/>
  <c r="DT115" i="1" l="1"/>
  <c r="DT114" i="1"/>
  <c r="DT113" i="1"/>
  <c r="DT112" i="1"/>
  <c r="DT111" i="1"/>
  <c r="DT110" i="1"/>
  <c r="DS110" i="1"/>
  <c r="DS111" i="1"/>
  <c r="DS112" i="1"/>
  <c r="DS113" i="1"/>
  <c r="DS114" i="1"/>
  <c r="DS115" i="1"/>
  <c r="E20" i="4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W127" i="1" l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BC104" i="1"/>
  <c r="BC107" i="1"/>
  <c r="BC101" i="1"/>
  <c r="BC98" i="1"/>
  <c r="BB101" i="1"/>
  <c r="BB104" i="1"/>
  <c r="BB107" i="1"/>
  <c r="BB98" i="1"/>
  <c r="Z89" i="1"/>
  <c r="Z88" i="1"/>
  <c r="Z87" i="1"/>
  <c r="Z86" i="1"/>
  <c r="Z85" i="1"/>
  <c r="CP97" i="1"/>
  <c r="CP96" i="1"/>
  <c r="CP95" i="1"/>
  <c r="CP94" i="1"/>
  <c r="CP93" i="1"/>
  <c r="CP92" i="1"/>
  <c r="CO97" i="1"/>
  <c r="CO96" i="1"/>
  <c r="CO95" i="1"/>
  <c r="CO94" i="1"/>
  <c r="CO93" i="1"/>
  <c r="CO92" i="1"/>
  <c r="W97" i="1"/>
  <c r="V97" i="1"/>
  <c r="I97" i="1"/>
  <c r="H97" i="1"/>
  <c r="W96" i="1"/>
  <c r="V96" i="1"/>
  <c r="I96" i="1"/>
  <c r="H96" i="1"/>
  <c r="W95" i="1"/>
  <c r="V95" i="1"/>
  <c r="I95" i="1"/>
  <c r="H95" i="1"/>
  <c r="W94" i="1"/>
  <c r="W93" i="1"/>
  <c r="W92" i="1"/>
  <c r="V94" i="1"/>
  <c r="V93" i="1"/>
  <c r="I94" i="1"/>
  <c r="H94" i="1"/>
  <c r="I93" i="1"/>
  <c r="H93" i="1"/>
  <c r="I92" i="1"/>
  <c r="H92" i="1"/>
  <c r="BC91" i="1"/>
  <c r="BC90" i="1"/>
  <c r="BB91" i="1"/>
  <c r="BB90" i="1"/>
  <c r="E25" i="3"/>
  <c r="AU91" i="1"/>
  <c r="AU90" i="1"/>
  <c r="DN91" i="1"/>
  <c r="DN90" i="1"/>
  <c r="DM91" i="1"/>
  <c r="DM90" i="1"/>
  <c r="I91" i="1"/>
  <c r="I90" i="1"/>
  <c r="H91" i="1"/>
  <c r="H90" i="1"/>
  <c r="EI89" i="1"/>
  <c r="EI88" i="1"/>
  <c r="EI87" i="1"/>
  <c r="EI86" i="1"/>
  <c r="EI85" i="1"/>
  <c r="EJ89" i="1"/>
  <c r="EJ88" i="1"/>
  <c r="EJ87" i="1"/>
  <c r="EJ86" i="1"/>
  <c r="EH89" i="1"/>
  <c r="EH88" i="1"/>
  <c r="EH87" i="1"/>
  <c r="EH86" i="1"/>
  <c r="EH85" i="1"/>
  <c r="E53" i="3" l="1"/>
  <c r="W89" i="1"/>
  <c r="V89" i="1"/>
  <c r="W88" i="1"/>
  <c r="V88" i="1"/>
  <c r="W87" i="1"/>
  <c r="V87" i="1"/>
  <c r="V86" i="1"/>
  <c r="W86" i="1"/>
  <c r="W85" i="1"/>
  <c r="V85" i="1"/>
  <c r="E59" i="1" l="1"/>
  <c r="E60" i="1"/>
  <c r="E61" i="1"/>
  <c r="E62" i="1"/>
  <c r="E63" i="1"/>
  <c r="E64" i="1"/>
  <c r="E58" i="1"/>
  <c r="E57" i="1"/>
  <c r="AU84" i="1"/>
  <c r="AU83" i="1"/>
  <c r="AU82" i="1"/>
  <c r="AU81" i="1"/>
  <c r="BC4" i="1"/>
  <c r="E24" i="3"/>
  <c r="E23" i="3"/>
  <c r="W84" i="1"/>
  <c r="V84" i="1"/>
  <c r="W83" i="1"/>
  <c r="V83" i="1"/>
  <c r="W82" i="1"/>
  <c r="V82" i="1"/>
  <c r="W81" i="1"/>
  <c r="V81" i="1"/>
  <c r="CG72" i="1" l="1"/>
  <c r="CG71" i="1"/>
  <c r="CG70" i="1"/>
  <c r="CG69" i="1"/>
  <c r="CG68" i="1"/>
  <c r="CG67" i="1"/>
  <c r="CG66" i="1"/>
  <c r="CG65" i="1"/>
  <c r="CF66" i="1"/>
  <c r="CF67" i="1"/>
  <c r="CF68" i="1"/>
  <c r="CF69" i="1"/>
  <c r="CF70" i="1"/>
  <c r="CF71" i="1"/>
  <c r="CF72" i="1"/>
  <c r="BI64" i="1"/>
  <c r="BI63" i="1"/>
  <c r="BI62" i="1"/>
  <c r="BI61" i="1"/>
  <c r="BI60" i="1"/>
  <c r="BI59" i="1"/>
  <c r="BI58" i="1"/>
  <c r="BI57" i="1"/>
  <c r="BH64" i="1"/>
  <c r="BH63" i="1"/>
  <c r="BH62" i="1"/>
  <c r="BH61" i="1"/>
  <c r="BH60" i="1"/>
  <c r="BH59" i="1"/>
  <c r="BH58" i="1"/>
  <c r="BH57" i="1"/>
  <c r="CP59" i="1"/>
  <c r="CP57" i="1"/>
  <c r="CO59" i="1"/>
  <c r="CO57" i="1"/>
</calcChain>
</file>

<file path=xl/sharedStrings.xml><?xml version="1.0" encoding="utf-8"?>
<sst xmlns="http://schemas.openxmlformats.org/spreadsheetml/2006/main" count="37304" uniqueCount="1865">
  <si>
    <t>CoverCrop</t>
  </si>
  <si>
    <t>GrainCrop</t>
  </si>
  <si>
    <t>Longitude</t>
  </si>
  <si>
    <t>Latitude</t>
  </si>
  <si>
    <t>SiteInfor</t>
  </si>
  <si>
    <t>Meta information</t>
  </si>
  <si>
    <t>YearPublication</t>
  </si>
  <si>
    <t>SoilDepthOfSample</t>
  </si>
  <si>
    <t>YearsAfterCoverCrop</t>
  </si>
  <si>
    <t>OC_T</t>
  </si>
  <si>
    <t>OC_C</t>
  </si>
  <si>
    <t>pH_T</t>
  </si>
  <si>
    <t>pH_C</t>
  </si>
  <si>
    <t>yield_T</t>
  </si>
  <si>
    <t>yield_C</t>
  </si>
  <si>
    <t>Texture</t>
  </si>
  <si>
    <t>MAT</t>
  </si>
  <si>
    <t>MAP</t>
  </si>
  <si>
    <t>ClimateType</t>
  </si>
  <si>
    <t>P_T</t>
  </si>
  <si>
    <t>P_C</t>
  </si>
  <si>
    <t>K_T</t>
  </si>
  <si>
    <t>K_C</t>
  </si>
  <si>
    <t>BD_T</t>
  </si>
  <si>
    <t>BD_C</t>
  </si>
  <si>
    <t>NoT</t>
  </si>
  <si>
    <t>NoC</t>
  </si>
  <si>
    <t>Aggre_T</t>
  </si>
  <si>
    <t>Aggre_C</t>
  </si>
  <si>
    <t>Penetration_T</t>
  </si>
  <si>
    <t>Penetration_C</t>
  </si>
  <si>
    <t>CEC_T</t>
  </si>
  <si>
    <t>CEC_C</t>
  </si>
  <si>
    <t>EC_T</t>
  </si>
  <si>
    <t>EC_C</t>
  </si>
  <si>
    <t>BS_T</t>
  </si>
  <si>
    <t>BS_C</t>
  </si>
  <si>
    <t>Tannual</t>
  </si>
  <si>
    <t>Pannual</t>
  </si>
  <si>
    <t>AWHC_T</t>
  </si>
  <si>
    <t>AWHC_C</t>
  </si>
  <si>
    <t>Infiltration_T</t>
  </si>
  <si>
    <t>Infiltration_C</t>
  </si>
  <si>
    <t>Notes</t>
  </si>
  <si>
    <t>Target data</t>
  </si>
  <si>
    <t>Author_F</t>
  </si>
  <si>
    <t>Author_G</t>
  </si>
  <si>
    <t>First author's Given name</t>
  </si>
  <si>
    <t>Paper publication year</t>
  </si>
  <si>
    <t>Site information</t>
  </si>
  <si>
    <t>Annual average temperature</t>
  </si>
  <si>
    <t>Mean annual temperature within study period (1960-2018?)</t>
  </si>
  <si>
    <t>Annual average precipitation</t>
  </si>
  <si>
    <t>Mean annual precipitation within study period (1960-2018?)</t>
  </si>
  <si>
    <t>Study site's climate type</t>
  </si>
  <si>
    <t>How many tears cover crop last</t>
  </si>
  <si>
    <t>Soil texture</t>
  </si>
  <si>
    <t>Cover crop type</t>
  </si>
  <si>
    <t>Grain crop type</t>
  </si>
  <si>
    <t>Applied fertilization information</t>
  </si>
  <si>
    <t>Replication number of treatment</t>
  </si>
  <si>
    <t>Replication number of control</t>
  </si>
  <si>
    <t>Yield of treatment (mean value)</t>
  </si>
  <si>
    <t>Yield of control (mean value)</t>
  </si>
  <si>
    <t>Bulk density of treatment (mean value)</t>
  </si>
  <si>
    <t>Bulk density of control (mean value)</t>
  </si>
  <si>
    <t>Organic carbon of treatment (mean value)</t>
  </si>
  <si>
    <t>Organic carbon of control (mean value)</t>
  </si>
  <si>
    <t>Nitrogen of treatment (mean value)</t>
  </si>
  <si>
    <t>Nitrogen of control (mean value)</t>
  </si>
  <si>
    <t>Phosphorus of treatment (mean value)</t>
  </si>
  <si>
    <t>Phosphorus of control (mean value)</t>
  </si>
  <si>
    <t>Potassium of treatment (mean value)</t>
  </si>
  <si>
    <t>Potassium of control (mean value)</t>
  </si>
  <si>
    <t>pH of treatment (mean value)</t>
  </si>
  <si>
    <t>pH of control (mean value)</t>
  </si>
  <si>
    <t>Soil aggregation of treatment (mean value)</t>
  </si>
  <si>
    <t>Soil aggregation of control (mean value)</t>
  </si>
  <si>
    <t>CEC of treatment (mean value)</t>
  </si>
  <si>
    <t>CEC of control (mean value)</t>
  </si>
  <si>
    <t>Available water hold capacity of treatment (mean value)</t>
  </si>
  <si>
    <t>Available water hold capacity of control (mean value)</t>
  </si>
  <si>
    <t>ST_C</t>
  </si>
  <si>
    <t>ST_T</t>
  </si>
  <si>
    <t>SWC_C</t>
  </si>
  <si>
    <t>SWC_T</t>
  </si>
  <si>
    <t>Soil temperature of control (mean value)</t>
  </si>
  <si>
    <t>Soil temperature of treatment (mean value)</t>
  </si>
  <si>
    <t>Soil group</t>
  </si>
  <si>
    <t>Units: kg/hm2</t>
  </si>
  <si>
    <t>ControlDescription</t>
  </si>
  <si>
    <t>Control description</t>
  </si>
  <si>
    <t>Units: %</t>
  </si>
  <si>
    <t>CCDryBiomass</t>
  </si>
  <si>
    <t>CCFreshBiomass</t>
  </si>
  <si>
    <t xml:space="preserve">Fresh biomass (and to be manure) of cover crop </t>
  </si>
  <si>
    <t xml:space="preserve">Dry biomass (and to be manure) of cover crop </t>
  </si>
  <si>
    <t>Conversion_factor</t>
  </si>
  <si>
    <t>Sample_土壤含水量</t>
  </si>
  <si>
    <t>cm3/cm3</t>
  </si>
  <si>
    <t>g/cm3</t>
  </si>
  <si>
    <t>BD</t>
  </si>
  <si>
    <t>1*BD</t>
  </si>
  <si>
    <t>g/g</t>
  </si>
  <si>
    <t>Sample_土壤容重</t>
  </si>
  <si>
    <t>Unit</t>
    <phoneticPr fontId="0" type="noConversion"/>
  </si>
  <si>
    <t>Mg/m3</t>
  </si>
  <si>
    <t>1 Mg/m3 = 1 g/cm3 (1Mg = 1 million g = 10^6 g)</t>
  </si>
  <si>
    <t>Soil water content (SWC) units conversion</t>
  </si>
  <si>
    <t>Soil bulk density units conversion</t>
  </si>
  <si>
    <t>VWC=GWC*BD</t>
  </si>
  <si>
    <t>need update</t>
  </si>
  <si>
    <t>Elevation</t>
  </si>
  <si>
    <t>Journal</t>
  </si>
  <si>
    <t>Journal name of paper</t>
  </si>
  <si>
    <t>Soil depth of samling(different rows or separate by ,?)</t>
  </si>
  <si>
    <t>Base Satuation of treatment (mean value)</t>
  </si>
  <si>
    <t>g/g=cm3/cm3 * BD</t>
  </si>
  <si>
    <t>Family author's Family name</t>
  </si>
  <si>
    <t>Ks_T</t>
  </si>
  <si>
    <t>Ks_C</t>
  </si>
  <si>
    <t>Cmina_T</t>
  </si>
  <si>
    <t>Cmina_C</t>
  </si>
  <si>
    <t>Carbon minierazation of treatment (mean value)</t>
  </si>
  <si>
    <t>Carbon minierazation of control (mean value)</t>
  </si>
  <si>
    <t>Nmina_T</t>
  </si>
  <si>
    <t>Nmina_C</t>
  </si>
  <si>
    <t>Nitrogen minierazation of treatment (mean value)</t>
  </si>
  <si>
    <t>Nitrogen minierazation of control (mean value)</t>
  </si>
  <si>
    <t>SIR_T</t>
  </si>
  <si>
    <t>SIR_C</t>
  </si>
  <si>
    <t>CO2BTest_T</t>
  </si>
  <si>
    <t>CO2BTest_C</t>
  </si>
  <si>
    <t>MBC_T</t>
  </si>
  <si>
    <t>Substract induced respiration of treatment (mean value)</t>
  </si>
  <si>
    <t>Substract induced respiration of treatment (Standard diviation)</t>
  </si>
  <si>
    <t>Substract induced respiration of control (mean value)</t>
  </si>
  <si>
    <t>CO2 burst test respiration of treatment (mean value)</t>
  </si>
  <si>
    <t>CO2 burst test respiration respiration of control (mean value)</t>
  </si>
  <si>
    <t>Microbe Biomass Carbon of treatment (mean value)</t>
  </si>
  <si>
    <t>Microbe Biomass Carbon of control (mean value)</t>
  </si>
  <si>
    <t>Field satuted hydrolic conductivity of treatment (mean value)</t>
  </si>
  <si>
    <t>Field satuted hydrolic conductivity of control (mean value)</t>
  </si>
  <si>
    <t>StudyID</t>
  </si>
  <si>
    <t>Abawi</t>
  </si>
  <si>
    <t>G.S.</t>
  </si>
  <si>
    <t>Applied Soil Ecology</t>
  </si>
  <si>
    <t>New York</t>
  </si>
  <si>
    <t>Alfalfa</t>
  </si>
  <si>
    <t>Ryegrass</t>
  </si>
  <si>
    <t>Wheat</t>
  </si>
  <si>
    <t>Rapeseed</t>
  </si>
  <si>
    <t>TimeAfterCoverCrop</t>
  </si>
  <si>
    <t>8 weeks</t>
  </si>
  <si>
    <t>Fallow</t>
  </si>
  <si>
    <t>Root diseases determined by root rot, ranged from 1(no root rot observed) to 9 (80% roots infected)</t>
  </si>
  <si>
    <t>SandPerc</t>
  </si>
  <si>
    <t>SiltPerc</t>
  </si>
  <si>
    <t>Percentage of sand</t>
  </si>
  <si>
    <t>Percentage of silt</t>
  </si>
  <si>
    <t>Bandic</t>
  </si>
  <si>
    <t>Anna</t>
  </si>
  <si>
    <t>Soil Biology and Biochemistry</t>
  </si>
  <si>
    <t xml:space="preserve">North  Willamette  Research  and Extension  Center,  Aurora,  Oregon </t>
  </si>
  <si>
    <t>Units: m</t>
  </si>
  <si>
    <t>Vegetable crop rotation</t>
  </si>
  <si>
    <t>Rye</t>
  </si>
  <si>
    <t>Corn</t>
  </si>
  <si>
    <t>Silt loam</t>
  </si>
  <si>
    <t xml:space="preserve"> Mediterranean</t>
  </si>
  <si>
    <t>Units: mm</t>
  </si>
  <si>
    <t>Blackshaw</t>
  </si>
  <si>
    <t>R.E.</t>
  </si>
  <si>
    <t xml:space="preserve">Crop Protection </t>
  </si>
  <si>
    <t>Lethbridge, AB, Canada</t>
  </si>
  <si>
    <t>Loam</t>
  </si>
  <si>
    <t>ExperimentDesign</t>
  </si>
  <si>
    <t>RCBD</t>
  </si>
  <si>
    <t>CRD,RCBD etc.</t>
  </si>
  <si>
    <t>1 year</t>
  </si>
  <si>
    <t>2 year</t>
  </si>
  <si>
    <t>3 year</t>
  </si>
  <si>
    <t>4 year</t>
  </si>
  <si>
    <t>5 year</t>
  </si>
  <si>
    <t>Others</t>
  </si>
  <si>
    <t>No herbicide</t>
  </si>
  <si>
    <t>With herbicide</t>
  </si>
  <si>
    <t>Weed_T</t>
  </si>
  <si>
    <t>Weed_C</t>
  </si>
  <si>
    <t>Weed of treatment (mean value)</t>
  </si>
  <si>
    <t>Weed of control (mean value)</t>
  </si>
  <si>
    <t>Blanco-Canqui</t>
  </si>
  <si>
    <t>Humberto</t>
  </si>
  <si>
    <t>Soil and Water Management and Conservation</t>
  </si>
  <si>
    <t>Hesston,  KS</t>
  </si>
  <si>
    <t xml:space="preserve"> Silt loam</t>
  </si>
  <si>
    <t>MBC_C</t>
  </si>
  <si>
    <t>Units: mg kg-1 soil</t>
  </si>
  <si>
    <t>Organic Matter</t>
  </si>
  <si>
    <t>Units: cmolc kg-1</t>
  </si>
  <si>
    <t>6 year</t>
  </si>
  <si>
    <t>Fall, before planting of cover crop</t>
  </si>
  <si>
    <t>cm</t>
  </si>
  <si>
    <t>No tillage</t>
  </si>
  <si>
    <t>Wheat-grain sorghum rotation</t>
  </si>
  <si>
    <t>Soybean</t>
  </si>
  <si>
    <t>Hemp</t>
  </si>
  <si>
    <t>15 year</t>
  </si>
  <si>
    <t>No cover crop</t>
  </si>
  <si>
    <t>0 kg N per ha</t>
  </si>
  <si>
    <t>66 kg N per ha</t>
  </si>
  <si>
    <t>SOC</t>
  </si>
  <si>
    <t>%</t>
  </si>
  <si>
    <t>g/kg</t>
  </si>
  <si>
    <t>Cummulative water infiltration (cm)</t>
  </si>
  <si>
    <t xml:space="preserve"> Garden City, KS</t>
  </si>
  <si>
    <t xml:space="preserve"> Silt  loam</t>
  </si>
  <si>
    <t>Subplot, Cover</t>
  </si>
  <si>
    <t>Subplot, Hayed</t>
  </si>
  <si>
    <t>Sometimes, SD column acts like comments</t>
  </si>
  <si>
    <t>1 g/kg = 0.1 %</t>
  </si>
  <si>
    <t>Units: Mg per ha</t>
  </si>
  <si>
    <t>Sediment loess</t>
  </si>
  <si>
    <t>Unites: kg per kg (gravimetric water content)</t>
  </si>
  <si>
    <t>Bloszies</t>
  </si>
  <si>
    <t>Sean Alaric</t>
  </si>
  <si>
    <t>PhD Dissertation</t>
  </si>
  <si>
    <t xml:space="preserve"> Split-split-plot RCBD</t>
  </si>
  <si>
    <t>Loamy sand</t>
  </si>
  <si>
    <t>Conventional disk tillage</t>
  </si>
  <si>
    <t>No</t>
  </si>
  <si>
    <t>g/m2</t>
  </si>
  <si>
    <t>kg/ha</t>
  </si>
  <si>
    <t>1 g/m² x 1 kg/1000 g x 10000 m²/ha = 10 kg/ha = 10 kg/hm2</t>
  </si>
  <si>
    <t>Mg / ha</t>
  </si>
  <si>
    <t>1 Mg = 1000000 g = 1000 kg/ha</t>
  </si>
  <si>
    <t>more</t>
  </si>
  <si>
    <t>Aggregate mean weight diameter (mm)</t>
  </si>
  <si>
    <t>Units:  mg CO2 kg−1 soil d−1</t>
  </si>
  <si>
    <t>SamplingYear</t>
  </si>
  <si>
    <t>Bottomley</t>
  </si>
  <si>
    <t>P.J.</t>
  </si>
  <si>
    <t>Aurora, OR</t>
  </si>
  <si>
    <t>Year table samples</t>
  </si>
  <si>
    <t>SoilpH</t>
  </si>
  <si>
    <t>SoilTC</t>
  </si>
  <si>
    <t>SoilKsat</t>
  </si>
  <si>
    <t>Soil pH</t>
  </si>
  <si>
    <t>Soil total C</t>
  </si>
  <si>
    <t>Soil Ksat</t>
  </si>
  <si>
    <t>Unit</t>
  </si>
  <si>
    <t>mg CO2 kg−1 soil d−1</t>
  </si>
  <si>
    <t>1 mg = 22.7273 mu mol</t>
  </si>
  <si>
    <t>Brainard</t>
  </si>
  <si>
    <t>D.C.</t>
  </si>
  <si>
    <t>Agriculture, Ecosystems and Environment</t>
  </si>
  <si>
    <t>Benton Harbor MI USA</t>
  </si>
  <si>
    <t>May</t>
  </si>
  <si>
    <t>Sand</t>
  </si>
  <si>
    <t>Sweet corn ratation with broccoli</t>
  </si>
  <si>
    <t>NPK fertilization</t>
  </si>
  <si>
    <t>Hiniker1 Model 6000 two-row strip-tiller tillage</t>
  </si>
  <si>
    <t>Rotation with sweet corn</t>
  </si>
  <si>
    <t>t/ha</t>
  </si>
  <si>
    <t>Bruce</t>
  </si>
  <si>
    <t>R.R.</t>
  </si>
  <si>
    <t>Watkinsville, GA</t>
  </si>
  <si>
    <r>
      <t>Soil Science Society of America Journal</t>
    </r>
    <r>
      <rPr>
        <sz val="10"/>
        <color rgb="FFFF0000"/>
        <rFont val="Arial"/>
        <family val="2"/>
      </rPr>
      <t> </t>
    </r>
  </si>
  <si>
    <t>Clayey</t>
  </si>
  <si>
    <t>March</t>
  </si>
  <si>
    <t>E1, slightly erosion</t>
  </si>
  <si>
    <t>E2, Moderately erosion</t>
  </si>
  <si>
    <t>E3, Severely erosion</t>
  </si>
  <si>
    <t>Fertilization_T</t>
  </si>
  <si>
    <t>Fertilization_C</t>
  </si>
  <si>
    <t>No-tillage</t>
  </si>
  <si>
    <t xml:space="preserve"> Disk-harrowed seedbed</t>
  </si>
  <si>
    <t>Sorghum</t>
  </si>
  <si>
    <t>Rate (%) of rainfull</t>
  </si>
  <si>
    <t>Bulan</t>
  </si>
  <si>
    <t>Mary T. Saunders</t>
  </si>
  <si>
    <t>Weed Science</t>
  </si>
  <si>
    <t xml:space="preserve"> University of Wisconsin West Madison Agricultural Research Station</t>
  </si>
  <si>
    <t xml:space="preserve"> University of Wisconsin Arlington Agricultural Research Station</t>
  </si>
  <si>
    <t>July</t>
  </si>
  <si>
    <t>August</t>
  </si>
  <si>
    <t>September</t>
  </si>
  <si>
    <t>Vegetable</t>
  </si>
  <si>
    <t>Buckwheat</t>
  </si>
  <si>
    <t>Conventional tillage</t>
  </si>
  <si>
    <t>N_C</t>
  </si>
  <si>
    <t>N_T</t>
  </si>
  <si>
    <t>TN</t>
  </si>
  <si>
    <t>Weed-free and weedy aggregated</t>
  </si>
  <si>
    <t>Buyer</t>
  </si>
  <si>
    <t>Jeffrey S.</t>
  </si>
  <si>
    <t>Bare</t>
  </si>
  <si>
    <t xml:space="preserve"> Beltsville, Maryland</t>
  </si>
  <si>
    <t>Sandy loam</t>
  </si>
  <si>
    <t>Lime and nutrients were applied</t>
  </si>
  <si>
    <t>Tomato</t>
  </si>
  <si>
    <t>Vetch</t>
  </si>
  <si>
    <t>n mol / g</t>
  </si>
  <si>
    <t xml:space="preserve">SIR or CO2 Burst Test </t>
  </si>
  <si>
    <t>mg kg-1 soil</t>
  </si>
  <si>
    <t>Conversions from these units to umol CO2/m2/s:</t>
  </si>
  <si>
    <t>Conversion_factor</t>
    <phoneticPr fontId="0" type="noConversion"/>
  </si>
  <si>
    <t>Sample_flux</t>
    <phoneticPr fontId="0" type="noConversion"/>
  </si>
  <si>
    <t>Flux_umol CO2/m2/s</t>
  </si>
  <si>
    <t>g C/m2/day</t>
    <phoneticPr fontId="0" type="noConversion"/>
  </si>
  <si>
    <t>g C/m2/hr</t>
    <phoneticPr fontId="0" type="noConversion"/>
  </si>
  <si>
    <t>g C/m2/yr</t>
    <phoneticPr fontId="0" type="noConversion"/>
  </si>
  <si>
    <t>g CO2/m2/day</t>
    <phoneticPr fontId="0" type="noConversion"/>
  </si>
  <si>
    <t>g CO2/m2/hr</t>
    <phoneticPr fontId="0" type="noConversion"/>
  </si>
  <si>
    <t>mg C/m2/day</t>
    <phoneticPr fontId="0" type="noConversion"/>
  </si>
  <si>
    <t>mg C/m2/hr</t>
    <phoneticPr fontId="0" type="noConversion"/>
  </si>
  <si>
    <t>mg CO2/m2/day</t>
    <phoneticPr fontId="0" type="noConversion"/>
  </si>
  <si>
    <t>mg CO2/m2/hr</t>
    <phoneticPr fontId="0" type="noConversion"/>
  </si>
  <si>
    <t>mmol CO2/m2/day</t>
    <phoneticPr fontId="0" type="noConversion"/>
  </si>
  <si>
    <t>mmol CO2/m2/hr</t>
    <phoneticPr fontId="0" type="noConversion"/>
  </si>
  <si>
    <t>mmol CO2/m2/s</t>
    <phoneticPr fontId="0" type="noConversion"/>
  </si>
  <si>
    <t>mol C/m2/yr</t>
    <phoneticPr fontId="0" type="noConversion"/>
  </si>
  <si>
    <t>umol CO2/m2/s</t>
    <phoneticPr fontId="0" type="noConversion"/>
  </si>
  <si>
    <t>PLFA</t>
  </si>
  <si>
    <t>Campbell</t>
  </si>
  <si>
    <t>R.B.</t>
  </si>
  <si>
    <t>Soil and tillage research</t>
  </si>
  <si>
    <t xml:space="preserve">Standing residues </t>
  </si>
  <si>
    <t>76-cm row spacing</t>
  </si>
  <si>
    <t>97-cm row spacing</t>
  </si>
  <si>
    <t>DE vs HE</t>
  </si>
  <si>
    <t>DL vs HL</t>
  </si>
  <si>
    <t>Darlington  County  South  Carolina</t>
  </si>
  <si>
    <t>Florence  of  South  Carolina</t>
  </si>
  <si>
    <t>C.A.</t>
  </si>
  <si>
    <t>Canadian  Journal Of Soil Science</t>
  </si>
  <si>
    <t>Indian Head,  Saskatchewan</t>
  </si>
  <si>
    <t>Sweetclover</t>
  </si>
  <si>
    <t>6 kg N per ha</t>
  </si>
  <si>
    <t>Fallow-Wheat at spring</t>
  </si>
  <si>
    <t>24 kg N per ha</t>
  </si>
  <si>
    <t>kg/ha/day</t>
  </si>
  <si>
    <t>SoilBD</t>
  </si>
  <si>
    <t>Bulk density</t>
  </si>
  <si>
    <t>1 kg=10^6 mg</t>
  </si>
  <si>
    <t>1627500 Kg when BD = 1.085 (Study No. 13)</t>
  </si>
  <si>
    <t>GM-(W)-W</t>
  </si>
  <si>
    <t>(GM)-W-W</t>
  </si>
  <si>
    <t>(F)-W-W-H-H-H</t>
  </si>
  <si>
    <t>F-W-W-(H)-H-H</t>
  </si>
  <si>
    <t>1 ha = 100*100*0.15*BD*1000 kg</t>
  </si>
  <si>
    <t>Microbial biomass N available</t>
  </si>
  <si>
    <t>CNOfManure</t>
  </si>
  <si>
    <t>Carbon to nitrogen ratio from the dry biomass of cover crop (related to manure quality)</t>
  </si>
  <si>
    <t>Carr</t>
  </si>
  <si>
    <t>Patrick M.</t>
  </si>
  <si>
    <t>Dickinson, North Dakota</t>
  </si>
  <si>
    <t>Renewable Agriculture and Food Systems</t>
  </si>
  <si>
    <t>Disk</t>
  </si>
  <si>
    <t>Sweep</t>
  </si>
  <si>
    <t>Roller</t>
  </si>
  <si>
    <t>Duiker</t>
  </si>
  <si>
    <t>Sjoerd</t>
  </si>
  <si>
    <t>Agronomy Journal</t>
  </si>
  <si>
    <t>Rock Springs, Center County, PA</t>
  </si>
  <si>
    <t>71 kg N per ha</t>
  </si>
  <si>
    <t>Early plant</t>
  </si>
  <si>
    <t>Late plant</t>
  </si>
  <si>
    <t>Ess</t>
  </si>
  <si>
    <t>D.R.</t>
  </si>
  <si>
    <t>American Society of Agricultural Engineers</t>
  </si>
  <si>
    <t xml:space="preserve">Virginia Tech Whitethorne Research Farm </t>
  </si>
  <si>
    <t>Tilled to 0.3m</t>
  </si>
  <si>
    <t>Fertilized</t>
  </si>
  <si>
    <t>Fallow with herbicide</t>
  </si>
  <si>
    <t>Capillary porosity (%)</t>
  </si>
  <si>
    <t>Noncapillary porosity (%)</t>
  </si>
  <si>
    <t>Units: cm/h</t>
  </si>
  <si>
    <t>Maximum dry density</t>
  </si>
  <si>
    <t>Finney</t>
  </si>
  <si>
    <t>Denise M.</t>
  </si>
  <si>
    <t>Larson Agricultural Research Center, Rock Springs, PA</t>
  </si>
  <si>
    <t>Oat–corn</t>
  </si>
  <si>
    <t xml:space="preserve">Silt loam </t>
  </si>
  <si>
    <t xml:space="preserve"> 150 kg N per ha</t>
  </si>
  <si>
    <t>8CCa</t>
  </si>
  <si>
    <t>8CCb</t>
  </si>
  <si>
    <t>Dry biomass, Post</t>
  </si>
  <si>
    <t>Potential leachable nitrate: kg No3-n per ha</t>
  </si>
  <si>
    <t>Sometimes, Leaching nutrient</t>
  </si>
  <si>
    <t>1 ha = Mg</t>
  </si>
  <si>
    <t>1 ha = Kg</t>
  </si>
  <si>
    <t>Chloroform fumigation±extraction method</t>
  </si>
  <si>
    <t>Sno.13</t>
  </si>
  <si>
    <t>Potentially mineralizable C</t>
  </si>
  <si>
    <t>Journal Of Soil And Water Conservation</t>
  </si>
  <si>
    <t>Fall, two months after cover crop</t>
  </si>
  <si>
    <t>Spring, eight months after cover crop</t>
  </si>
  <si>
    <t>Other 6 microbial indicators available, fungal to bacterial available</t>
  </si>
  <si>
    <t>mu g C per g per day</t>
  </si>
  <si>
    <t>Hargrove</t>
  </si>
  <si>
    <t>W.L.</t>
  </si>
  <si>
    <t>Bledsoe Research Farm near Griffin, GA</t>
  </si>
  <si>
    <t>Sandy  loam</t>
  </si>
  <si>
    <t>Split-split-plot RCBD</t>
  </si>
  <si>
    <t>0 N fertilization</t>
  </si>
  <si>
    <t>112 N fertilization</t>
  </si>
  <si>
    <t>0 Kg N per ha</t>
  </si>
  <si>
    <t>112 Kg N per ha</t>
  </si>
  <si>
    <t>Year and soil depth interaction not valid</t>
  </si>
  <si>
    <t>1 dag = 0.1 g</t>
  </si>
  <si>
    <t>%=0.01g/g</t>
  </si>
  <si>
    <t>10mg/g</t>
  </si>
  <si>
    <t>10000 mg / kg</t>
  </si>
  <si>
    <t>Nitrate-nitrogen in ppm</t>
  </si>
  <si>
    <t>PPM</t>
  </si>
  <si>
    <t>ppm=0.0001%</t>
  </si>
  <si>
    <t>Soil inorganic N</t>
  </si>
  <si>
    <t>Units of N need check</t>
  </si>
  <si>
    <t>Inorganic N available</t>
  </si>
  <si>
    <t>Michigan State University Horticulture Teaching and Research Center in Holt, MI</t>
  </si>
  <si>
    <t>Hayden</t>
  </si>
  <si>
    <t>Zachary</t>
  </si>
  <si>
    <t>Crop Ecology and Physiology</t>
  </si>
  <si>
    <t>Control set as 100, no units</t>
  </si>
  <si>
    <t>Hinds</t>
  </si>
  <si>
    <t>Jermaine</t>
  </si>
  <si>
    <t>Crop Protection</t>
  </si>
  <si>
    <t>5-10-10(N-P-K)</t>
  </si>
  <si>
    <t>UM, Research and Education Center in Upper Marlboro, MD</t>
  </si>
  <si>
    <t>QT, Research and Education Center in Upper Marlboro, MD</t>
  </si>
  <si>
    <t>Diseases_T</t>
  </si>
  <si>
    <t>Diseases_C</t>
  </si>
  <si>
    <t>Beetles per plant</t>
  </si>
  <si>
    <t>14 Days</t>
  </si>
  <si>
    <t>21 Days</t>
  </si>
  <si>
    <t>28 Days</t>
  </si>
  <si>
    <t>35 Days</t>
  </si>
  <si>
    <t>42 Days</t>
  </si>
  <si>
    <t>49 Days</t>
  </si>
  <si>
    <t>Spots cucumber beetles, spider number available</t>
  </si>
  <si>
    <t>Zucchini</t>
  </si>
  <si>
    <t>Organic fertilizer</t>
  </si>
  <si>
    <t>Synthetic fertilizer</t>
  </si>
  <si>
    <t>Nematode enrichment</t>
  </si>
  <si>
    <t>September 1ST</t>
  </si>
  <si>
    <t>September 21ST</t>
  </si>
  <si>
    <t>Other nematode indicators available</t>
  </si>
  <si>
    <t>Biological Agriculture and Horticulture</t>
  </si>
  <si>
    <t>26 days</t>
  </si>
  <si>
    <t>28 days</t>
  </si>
  <si>
    <t>30 days</t>
  </si>
  <si>
    <t>31 days</t>
  </si>
  <si>
    <t>33 days</t>
  </si>
  <si>
    <t>35 days</t>
  </si>
  <si>
    <t>37 days</t>
  </si>
  <si>
    <t>39 days</t>
  </si>
  <si>
    <t>41 days</t>
  </si>
  <si>
    <t>43 days</t>
  </si>
  <si>
    <t>45 days</t>
  </si>
  <si>
    <t>47 days</t>
  </si>
  <si>
    <t>46 days</t>
  </si>
  <si>
    <t>34 days</t>
  </si>
  <si>
    <t>36 days</t>
  </si>
  <si>
    <t>40 days</t>
  </si>
  <si>
    <t>48 days</t>
  </si>
  <si>
    <t>51 days</t>
  </si>
  <si>
    <t>29 days</t>
  </si>
  <si>
    <t>32 days</t>
  </si>
  <si>
    <t>38 days</t>
  </si>
  <si>
    <t>42 days</t>
  </si>
  <si>
    <t>44 days</t>
  </si>
  <si>
    <t>49 days</t>
  </si>
  <si>
    <t>50 days</t>
  </si>
  <si>
    <t>Journal of Nematology</t>
  </si>
  <si>
    <t>Hubbard</t>
  </si>
  <si>
    <t>Robert K.</t>
  </si>
  <si>
    <t>Tifton, GA</t>
  </si>
  <si>
    <t>Conservation tillage</t>
  </si>
  <si>
    <t>Rotation with cover crop</t>
  </si>
  <si>
    <t>133 Kg N per ha</t>
  </si>
  <si>
    <t>67 Kg N per ha</t>
  </si>
  <si>
    <t>mg/g</t>
  </si>
  <si>
    <t>Idowu</t>
  </si>
  <si>
    <t>Q.J.</t>
  </si>
  <si>
    <t>Bean–beet–sweet corn–cabbage–bean</t>
  </si>
  <si>
    <t>Bean–ﬁeld corn–clover/grain–sweet corn–bean</t>
  </si>
  <si>
    <t>Four sites averaged</t>
  </si>
  <si>
    <t>No tillage, plow-till, and zone tillage</t>
  </si>
  <si>
    <t>Units: g/g</t>
  </si>
  <si>
    <t>AWC</t>
  </si>
  <si>
    <t>Units: mg/kg</t>
  </si>
  <si>
    <t>Active carbon</t>
  </si>
  <si>
    <t>Root health 1-9</t>
  </si>
  <si>
    <t>Mg, Fe, Zn, CSHI available</t>
  </si>
  <si>
    <t>Jani</t>
  </si>
  <si>
    <t>Arun D.</t>
  </si>
  <si>
    <t>Goldsboro</t>
  </si>
  <si>
    <t xml:space="preserve">Kinston </t>
  </si>
  <si>
    <t>Conventional tillage,Disked</t>
  </si>
  <si>
    <t>Pea</t>
  </si>
  <si>
    <t>Clover</t>
  </si>
  <si>
    <t>0 week</t>
  </si>
  <si>
    <t>2 week</t>
  </si>
  <si>
    <t>4 week</t>
  </si>
  <si>
    <t>6 week</t>
  </si>
  <si>
    <t>8 week</t>
  </si>
  <si>
    <t>12 week</t>
  </si>
  <si>
    <t>16 week</t>
  </si>
  <si>
    <t>Conventional tillage,Roller Crimped</t>
  </si>
  <si>
    <t>NH4-NO3</t>
  </si>
  <si>
    <t>Disked</t>
  </si>
  <si>
    <t>Roller Crimping</t>
  </si>
  <si>
    <t>N release dynamic indicator available</t>
  </si>
  <si>
    <t>Other meta information</t>
  </si>
  <si>
    <t>Jernigan</t>
  </si>
  <si>
    <t>Ashley B.</t>
  </si>
  <si>
    <t>Weed Science Society of America</t>
  </si>
  <si>
    <t>Freeville, NY</t>
  </si>
  <si>
    <t>April</t>
  </si>
  <si>
    <t>Rotated with 6 cash crops</t>
  </si>
  <si>
    <t>Compost</t>
  </si>
  <si>
    <t>Jiang</t>
  </si>
  <si>
    <t>P.</t>
  </si>
  <si>
    <t>SSSA</t>
  </si>
  <si>
    <t>Centrralia in Missouri</t>
  </si>
  <si>
    <t>Silt</t>
  </si>
  <si>
    <t>Corn-soybean-wheat rotation</t>
  </si>
  <si>
    <t>multch tillage</t>
  </si>
  <si>
    <t>150 kg N per ha</t>
  </si>
  <si>
    <t>190 kg N per ha</t>
  </si>
  <si>
    <t>0.01  Kpa</t>
  </si>
  <si>
    <t>Macro porse</t>
  </si>
  <si>
    <t>Micro porse</t>
  </si>
  <si>
    <t>William E.</t>
  </si>
  <si>
    <t>Prairie du Sac, WI</t>
  </si>
  <si>
    <t>Forage</t>
  </si>
  <si>
    <t>No-cover, manured</t>
  </si>
  <si>
    <t>No-cover, N ferterlized</t>
  </si>
  <si>
    <t>Active C</t>
  </si>
  <si>
    <t>Water-stable macroaggregates</t>
  </si>
  <si>
    <t>Units: g/kg and many others</t>
  </si>
  <si>
    <t>SQI available</t>
  </si>
  <si>
    <t>Total microbial Biomass</t>
  </si>
  <si>
    <t>Diff</t>
  </si>
  <si>
    <t>Joyce</t>
  </si>
  <si>
    <t>B.A.</t>
  </si>
  <si>
    <t xml:space="preserve">American Society of Agricultural Engineers </t>
  </si>
  <si>
    <t>Agronomy Farm at the University of California</t>
  </si>
  <si>
    <t>Tomato-Safflower-Corn-Bean Rotation</t>
  </si>
  <si>
    <t>Low input</t>
  </si>
  <si>
    <t>Organic</t>
  </si>
  <si>
    <t>VMW</t>
  </si>
  <si>
    <t>Runoff of precipitation (%)</t>
  </si>
  <si>
    <t>Hydrolic conductivity</t>
  </si>
  <si>
    <t>Kabir</t>
  </si>
  <si>
    <t>Z.</t>
  </si>
  <si>
    <t xml:space="preserve">Agriculture, Ecosystems and Environment </t>
  </si>
  <si>
    <t>Silty loam</t>
  </si>
  <si>
    <t>Dandelion</t>
  </si>
  <si>
    <t>8 days</t>
  </si>
  <si>
    <t>25 days</t>
  </si>
  <si>
    <t>54 days</t>
  </si>
  <si>
    <t>% root affected by Mycorrhizal</t>
  </si>
  <si>
    <t>Shoot biomass:g per plant</t>
  </si>
  <si>
    <t>450 kg N per ha</t>
  </si>
  <si>
    <t>Kaspar</t>
  </si>
  <si>
    <t>T.C.</t>
  </si>
  <si>
    <t>Boone County, IA</t>
  </si>
  <si>
    <t>Loamy</t>
  </si>
  <si>
    <t>Corn, Soy bean Rotation</t>
  </si>
  <si>
    <t>Light tillage</t>
  </si>
  <si>
    <t>Gamagrass</t>
  </si>
  <si>
    <t>Plant N indicator available</t>
  </si>
  <si>
    <t>Inorganic N</t>
  </si>
  <si>
    <t>N concentration in runoff (mg N per L)</t>
  </si>
  <si>
    <t>Keene</t>
  </si>
  <si>
    <t>C.L.</t>
  </si>
  <si>
    <t>Crop Economics, Production and Management</t>
  </si>
  <si>
    <t>Reduced or no tillage</t>
  </si>
  <si>
    <t>4 wap</t>
  </si>
  <si>
    <t>5 wap</t>
  </si>
  <si>
    <t>6 wap</t>
  </si>
  <si>
    <t>4+5+6 wap</t>
  </si>
  <si>
    <t>Kladivko</t>
  </si>
  <si>
    <t>E.J.</t>
  </si>
  <si>
    <t>Journal of environmental quality</t>
  </si>
  <si>
    <t>SouthEastern Purdue Agricultural, Indiana</t>
  </si>
  <si>
    <t>285 kg N per ha</t>
  </si>
  <si>
    <t>177 kg N per ha</t>
  </si>
  <si>
    <t>Chisel</t>
  </si>
  <si>
    <t>5 m drain space</t>
  </si>
  <si>
    <t>10 m drain space</t>
  </si>
  <si>
    <t>20 m drain space</t>
  </si>
  <si>
    <t>Kong</t>
  </si>
  <si>
    <t xml:space="preserve">Angela Y.Y. </t>
  </si>
  <si>
    <t>Long-term Research on Agricultural Systems</t>
  </si>
  <si>
    <t>Mediterranean</t>
  </si>
  <si>
    <t>Silt loam or silt clay</t>
  </si>
  <si>
    <t>CRD</t>
  </si>
  <si>
    <t>170 kg N, 51 kg N-P-K per ha</t>
  </si>
  <si>
    <t>Conventional</t>
  </si>
  <si>
    <t>Root C release</t>
  </si>
  <si>
    <t>373 kg composed N per ha</t>
  </si>
  <si>
    <t>69 days</t>
  </si>
  <si>
    <t>100 days</t>
  </si>
  <si>
    <t>154 days</t>
  </si>
  <si>
    <t>PFLA,Microaggregate, sum of four</t>
  </si>
  <si>
    <t>PFLA,Silt and clay</t>
  </si>
  <si>
    <t>Langdale</t>
  </si>
  <si>
    <t>G.W.</t>
  </si>
  <si>
    <t>Soil Technology</t>
  </si>
  <si>
    <t xml:space="preserve"> Watkinsville, Georgia</t>
  </si>
  <si>
    <t>No-tilling</t>
  </si>
  <si>
    <t>70 Kg N per ha</t>
  </si>
  <si>
    <t>115 Kg N per ha</t>
  </si>
  <si>
    <t>45 Kg N per ha</t>
  </si>
  <si>
    <t>Fert_Diff</t>
  </si>
  <si>
    <t>Yes</t>
  </si>
  <si>
    <t>Whether control and cover crop applied fifferent fertilizer level?</t>
  </si>
  <si>
    <t>Rainfed, sligh erosion level</t>
  </si>
  <si>
    <t>Rainfed, moderate erosion level</t>
  </si>
  <si>
    <t>Rainfed, severe erosion level</t>
  </si>
  <si>
    <t>Irrigated, sligh erosion level</t>
  </si>
  <si>
    <t>Irrigated, moderate erosion level</t>
  </si>
  <si>
    <t>Irrigated, severe erosion level</t>
  </si>
  <si>
    <t>Sligh erosion level</t>
  </si>
  <si>
    <t>Moderate erosion level</t>
  </si>
  <si>
    <t>Severe erosion level</t>
  </si>
  <si>
    <t>Total Kjeldahl Nitrogen</t>
  </si>
  <si>
    <t>Air dry soil pass sieve</t>
  </si>
  <si>
    <t>Runoff(%)</t>
  </si>
  <si>
    <t>Lehman</t>
  </si>
  <si>
    <t>R.Michael</t>
  </si>
  <si>
    <t>Brookings, South Dakota</t>
  </si>
  <si>
    <t>Sandy clay loam</t>
  </si>
  <si>
    <t>Units: 10-6/s (mS)</t>
  </si>
  <si>
    <t>November</t>
  </si>
  <si>
    <t>Oat</t>
  </si>
  <si>
    <t>Slit tillage</t>
  </si>
  <si>
    <t>Arbuscular mycorrrhizal fungi (AMF)</t>
  </si>
  <si>
    <t>Canola</t>
  </si>
  <si>
    <t>Liebig</t>
  </si>
  <si>
    <t>M.</t>
  </si>
  <si>
    <t>Akron, CO</t>
  </si>
  <si>
    <t>Millet</t>
  </si>
  <si>
    <t>Varied N</t>
  </si>
  <si>
    <t>Brookings, SD</t>
  </si>
  <si>
    <t>Chisel plow and disk</t>
  </si>
  <si>
    <t>Rotation_T</t>
  </si>
  <si>
    <t>Rotation_C</t>
  </si>
  <si>
    <t>Rotation_Diff</t>
  </si>
  <si>
    <t>Whether type of tillage differ between control and cover crop</t>
  </si>
  <si>
    <t>Tillage_T</t>
  </si>
  <si>
    <t>Tillage_C</t>
  </si>
  <si>
    <t>Tillage_Diff</t>
  </si>
  <si>
    <t>Type of tillage for cover crop</t>
  </si>
  <si>
    <t>Type of tillage for control</t>
  </si>
  <si>
    <t>High N</t>
  </si>
  <si>
    <t>Bushland, TX</t>
  </si>
  <si>
    <t>WW-C-M</t>
  </si>
  <si>
    <t>C-SB-SW</t>
  </si>
  <si>
    <t>C-C</t>
  </si>
  <si>
    <t>WW-SO-F</t>
  </si>
  <si>
    <t>WW-WW</t>
  </si>
  <si>
    <t>Fargo, ND</t>
  </si>
  <si>
    <t>Silty clay</t>
  </si>
  <si>
    <t>DW-P</t>
  </si>
  <si>
    <t>Fall plow</t>
  </si>
  <si>
    <t>Mandan, ND</t>
  </si>
  <si>
    <t>Sunflower</t>
  </si>
  <si>
    <t>SW-F</t>
  </si>
  <si>
    <t>SW-WW-SU</t>
  </si>
  <si>
    <t>Medium</t>
  </si>
  <si>
    <t>Mead, NE</t>
  </si>
  <si>
    <t>Silt clay loam</t>
  </si>
  <si>
    <t>C-SB-SO-OCL</t>
  </si>
  <si>
    <t>High</t>
  </si>
  <si>
    <t>Sidney, MT</t>
  </si>
  <si>
    <t>SW-SW</t>
  </si>
  <si>
    <t>Tandem disk</t>
  </si>
  <si>
    <t>Swift Current, SK</t>
  </si>
  <si>
    <t>Lentil</t>
  </si>
  <si>
    <t>SW-L</t>
  </si>
  <si>
    <t>Chisel plow and harrow</t>
  </si>
  <si>
    <t>Type of rotation/crop sequence for cover crop treatment</t>
  </si>
  <si>
    <t>Type of rotation/crop sequence for control</t>
  </si>
  <si>
    <t>Whether type of rotation/crop sequence differ between control and cover crop</t>
  </si>
  <si>
    <t>WW-F</t>
  </si>
  <si>
    <t>qCO2,mg CO2 per mg MBC</t>
  </si>
  <si>
    <t>kg per ha</t>
  </si>
  <si>
    <t>Marriott</t>
  </si>
  <si>
    <t xml:space="preserve">Emily E. </t>
  </si>
  <si>
    <t>Composed mannure 4480 kg per ha</t>
  </si>
  <si>
    <t>170 Kg N per ha</t>
  </si>
  <si>
    <t>Chisel plow</t>
  </si>
  <si>
    <t>C-CC-C-AR-SB-W-RC</t>
  </si>
  <si>
    <t>CC-SB-W</t>
  </si>
  <si>
    <t>Legume</t>
  </si>
  <si>
    <t>Control vs M</t>
  </si>
  <si>
    <t>Control vs L</t>
  </si>
  <si>
    <t>CF</t>
  </si>
  <si>
    <t>OPOM</t>
  </si>
  <si>
    <t>FPOM</t>
  </si>
  <si>
    <t>CHF</t>
  </si>
  <si>
    <t>Paper's ID number</t>
  </si>
  <si>
    <t>Mbuthia</t>
  </si>
  <si>
    <t>Lilian Wanjiru</t>
  </si>
  <si>
    <t>Everage of 31 years data</t>
  </si>
  <si>
    <t>Cotton</t>
  </si>
  <si>
    <t>Total bacterial</t>
  </si>
  <si>
    <t>Enzyme activity</t>
  </si>
  <si>
    <t>Tillage</t>
  </si>
  <si>
    <t>1 ha = 100*100*0.075*1.4Mg</t>
  </si>
  <si>
    <t>No40</t>
  </si>
  <si>
    <t>MG</t>
  </si>
  <si>
    <t>kg</t>
  </si>
  <si>
    <t>McCracken</t>
  </si>
  <si>
    <t xml:space="preserve">Daniel V.  </t>
  </si>
  <si>
    <t xml:space="preserve">West Tennessee Research and Education Center </t>
  </si>
  <si>
    <t>Kentucky Agricultural Experiment  Station  Farm near Lexington</t>
  </si>
  <si>
    <t>NH4-N discharge (%)</t>
  </si>
  <si>
    <t>June</t>
  </si>
  <si>
    <t>Augest</t>
  </si>
  <si>
    <t>October</t>
  </si>
  <si>
    <t>December</t>
  </si>
  <si>
    <t xml:space="preserve">April </t>
  </si>
  <si>
    <t>Suptember</t>
  </si>
  <si>
    <t>January</t>
  </si>
  <si>
    <t>February</t>
  </si>
  <si>
    <t>N Concentration</t>
  </si>
  <si>
    <t>McVay</t>
  </si>
  <si>
    <t xml:space="preserve">K. A. </t>
  </si>
  <si>
    <t>Sandy  clay  loam</t>
  </si>
  <si>
    <t>Clay Loam</t>
  </si>
  <si>
    <t>Valley  location, Georgia</t>
  </si>
  <si>
    <t>Coastal  Plain, Altamaha, upper Coastal  Plain of Georgia</t>
  </si>
  <si>
    <t>&gt;250 mum (%)</t>
  </si>
  <si>
    <t>Units: mm/h</t>
  </si>
  <si>
    <t>Units in Mg per Ha available</t>
  </si>
  <si>
    <t>SQI, Ca, Mg, MBN and MBC/N indicators available</t>
  </si>
  <si>
    <t>Ca,Mg,Al,Mn available</t>
  </si>
  <si>
    <t>Varied</t>
  </si>
  <si>
    <t>Wheat-Cron-Fallow</t>
  </si>
  <si>
    <t>CCTermination</t>
  </si>
  <si>
    <t>Way of kinnling cover crop</t>
  </si>
  <si>
    <t>Mendes</t>
  </si>
  <si>
    <t xml:space="preserve">I. C. </t>
  </si>
  <si>
    <t>Sweet corn and broccoli</t>
  </si>
  <si>
    <t>Cereal</t>
  </si>
  <si>
    <t>TC</t>
  </si>
  <si>
    <t>Kjeldahl N (TKN)</t>
  </si>
  <si>
    <t>SMBC</t>
  </si>
  <si>
    <t>mu g n gdw soil per week?</t>
  </si>
  <si>
    <t>mg NO3-N / kg soil</t>
  </si>
  <si>
    <t>beta-Glucoside activity</t>
  </si>
  <si>
    <t>Fluorescein diacetate hydrolysis (FDA),distribution of TOC,TNC,and emzyme activity indicator available</t>
  </si>
  <si>
    <t>Ndiaye</t>
  </si>
  <si>
    <t xml:space="preserve">E.L. </t>
  </si>
  <si>
    <t>American Journal of Alternative Agriculture</t>
  </si>
  <si>
    <t>Silverton(OF), Oregon</t>
  </si>
  <si>
    <t>Salem(OF), Oregon</t>
  </si>
  <si>
    <t>Gervais(OF), Oregon</t>
  </si>
  <si>
    <t>Molalla(OF), Oregon-122.577</t>
  </si>
  <si>
    <t>Silt clay</t>
  </si>
  <si>
    <t>NWREC(R), Oregon</t>
  </si>
  <si>
    <t>Southern Willamette Valley, VF(R), Oregon</t>
  </si>
  <si>
    <t>Cauliflower</t>
  </si>
  <si>
    <t>Broccoli</t>
  </si>
  <si>
    <t>Mixed</t>
  </si>
  <si>
    <t>Mixted</t>
  </si>
  <si>
    <t>NSF-Living Field Lab, Hickory Corners, MI chosed, Mixted of nine</t>
  </si>
  <si>
    <t>Corn-Cauliflower</t>
  </si>
  <si>
    <t>Corn-corn</t>
  </si>
  <si>
    <t>Corn-grass</t>
  </si>
  <si>
    <t>Broccoli-Corn</t>
  </si>
  <si>
    <t>Corn-Bean</t>
  </si>
  <si>
    <t>Ca</t>
  </si>
  <si>
    <t>c mol / kg</t>
  </si>
  <si>
    <t>mg CO2/m2/s</t>
  </si>
  <si>
    <t>1mg=0.001 g</t>
  </si>
  <si>
    <t>1 mu mol = 1/1000000 mol</t>
  </si>
  <si>
    <t>K need *39</t>
  </si>
  <si>
    <t>1 nmol = 1/1000000000 mol</t>
  </si>
  <si>
    <t>1mol=12g</t>
  </si>
  <si>
    <t>1 cmol = 0.01 mol</t>
  </si>
  <si>
    <t>No29</t>
  </si>
  <si>
    <t>1 ha = 1627.5Mg</t>
  </si>
  <si>
    <t>mu mol CO2 /kg soil/ d</t>
  </si>
  <si>
    <t>1 mu mol=1/1000000 mol</t>
  </si>
  <si>
    <t>1 nmol=1/1000000000 mol * 44 g/mol</t>
  </si>
  <si>
    <t>Mixted of four OF sites</t>
  </si>
  <si>
    <t>Canopy closure</t>
  </si>
  <si>
    <t>Spring</t>
  </si>
  <si>
    <t>Harvest</t>
  </si>
  <si>
    <t>mu g g-1 soil</t>
  </si>
  <si>
    <t>Cotton stip decomposition indicator available</t>
  </si>
  <si>
    <t>Nielsen</t>
  </si>
  <si>
    <t>David C.</t>
  </si>
  <si>
    <t>Sweep tillage</t>
  </si>
  <si>
    <t>1.1 Kg N-P per ha</t>
  </si>
  <si>
    <t>mm</t>
  </si>
  <si>
    <t>J.K.</t>
  </si>
  <si>
    <t>ODea</t>
  </si>
  <si>
    <t>Big Sandy site, north-central Montan</t>
  </si>
  <si>
    <t>Box elder site, north-central Montan</t>
  </si>
  <si>
    <t>Joplin, north-central Montan</t>
  </si>
  <si>
    <t>Sunburst site, north-central Montan</t>
  </si>
  <si>
    <t>Oilmont site, north-central Montan</t>
  </si>
  <si>
    <t>Clay loam</t>
  </si>
  <si>
    <t>Herbicide, June_18</t>
  </si>
  <si>
    <t>Herbicide, June_23</t>
  </si>
  <si>
    <t>Herbicide, June_26</t>
  </si>
  <si>
    <t>Herbicide, June_27</t>
  </si>
  <si>
    <t>Herbicide, July_9</t>
  </si>
  <si>
    <t>At GLM termination</t>
  </si>
  <si>
    <t>At wheat seeding</t>
  </si>
  <si>
    <t>NO3-N+NH4-N, kg/ha</t>
  </si>
  <si>
    <t>NO3-N, kg/ha</t>
  </si>
  <si>
    <t>1/(Available Nitrogen Use Efficiency)</t>
  </si>
  <si>
    <t>Residue C, N returned available</t>
  </si>
  <si>
    <t>Osborne</t>
  </si>
  <si>
    <t xml:space="preserve">Shannon L. </t>
  </si>
  <si>
    <t>Bioenerg. Res.</t>
  </si>
  <si>
    <t>Corn-soybean</t>
  </si>
  <si>
    <t>Low residue romoval</t>
  </si>
  <si>
    <t>Medium residue romoval</t>
  </si>
  <si>
    <t>High residue romoval</t>
  </si>
  <si>
    <t>Quinn</t>
  </si>
  <si>
    <t>N.F.</t>
  </si>
  <si>
    <t>Environmental Entomology</t>
  </si>
  <si>
    <t>Harbor, MI</t>
  </si>
  <si>
    <t>Sandy</t>
  </si>
  <si>
    <t xml:space="preserve"> 86.25 N-P-K- kg per ha</t>
  </si>
  <si>
    <t>Herbicide, Glyphosate, clomazone etc</t>
  </si>
  <si>
    <t>Strip-tilled</t>
  </si>
  <si>
    <t>full-tilled</t>
  </si>
  <si>
    <t>a</t>
  </si>
  <si>
    <t>b</t>
  </si>
  <si>
    <t>c</t>
  </si>
  <si>
    <t>d</t>
  </si>
  <si>
    <t>e</t>
  </si>
  <si>
    <t>f</t>
  </si>
  <si>
    <t>g</t>
  </si>
  <si>
    <t>h</t>
  </si>
  <si>
    <t>Number of arthropods (density activity)</t>
  </si>
  <si>
    <t>No. 46</t>
  </si>
  <si>
    <t>mm to VMW</t>
  </si>
  <si>
    <t>Notes2</t>
  </si>
  <si>
    <t>Microbe activity/Enzyme/nematode/earthwarm</t>
  </si>
  <si>
    <t>Termination</t>
  </si>
  <si>
    <t>Beetles as diseases</t>
  </si>
  <si>
    <t>Multiple rotation, tillage and fertilization</t>
  </si>
  <si>
    <t>Root infected by rot</t>
  </si>
  <si>
    <t>Disk vs crimping</t>
  </si>
  <si>
    <t>Runoff to erosion, hydrolic conductivity to Ks</t>
  </si>
  <si>
    <t>Other notes, comments 2</t>
  </si>
  <si>
    <t>Earthwarm, 4.75-2 mm water stable aggregates, percentage of soil remaining in sieves, other 5 indicator available</t>
  </si>
  <si>
    <t>Geometric mean Diameter of dry aggregates, water-stable, available</t>
  </si>
  <si>
    <t>Weed density, averaged from 5</t>
  </si>
  <si>
    <t>Diseases treatment (mean value)/Beetles/pest</t>
  </si>
  <si>
    <t>Diseases of control (mean value)/Beetles/pest</t>
  </si>
  <si>
    <t>pests</t>
  </si>
  <si>
    <t>Natural enemies</t>
  </si>
  <si>
    <t>Pest as disease, natural enemies of pest as microbial</t>
  </si>
  <si>
    <t>Active C to Cmin, root health to microAnimal, units for Nmin need check</t>
  </si>
  <si>
    <t>Units: kg per ha and many others</t>
  </si>
  <si>
    <t>Root C release to CO2BTest</t>
  </si>
  <si>
    <t>Runoff (%)</t>
  </si>
  <si>
    <t>AMF as total microAnimal indicator</t>
  </si>
  <si>
    <t>MBN and MBC/SOC available, qCO2 as CO2 burst test indicator</t>
  </si>
  <si>
    <t>CF,OPOM,FPOM,CHF methods for Nmin, Cmin</t>
  </si>
  <si>
    <t>NH4-N discharg as erosion indicator</t>
  </si>
  <si>
    <t>mm for AWHC</t>
  </si>
  <si>
    <t xml:space="preserve">Authopods number to MicroAnimal </t>
  </si>
  <si>
    <t>Raper</t>
  </si>
  <si>
    <t>R.L.</t>
  </si>
  <si>
    <t>Applied Engineering in Agriculture</t>
  </si>
  <si>
    <t>Spring shallow</t>
  </si>
  <si>
    <t>Spring deep</t>
  </si>
  <si>
    <t>Autumn shallow</t>
  </si>
  <si>
    <t>Autumn deep</t>
  </si>
  <si>
    <t>Cone index for root penetration</t>
  </si>
  <si>
    <t>Rasse</t>
  </si>
  <si>
    <t>Daniel P.</t>
  </si>
  <si>
    <t>Environmental Quality</t>
  </si>
  <si>
    <t>Tennessee Valley Substation in Belle Mina, Alabama</t>
  </si>
  <si>
    <t>101 Kg N per ha</t>
  </si>
  <si>
    <t>202 Kg N per ha</t>
  </si>
  <si>
    <t>Ap</t>
  </si>
  <si>
    <t>Ap, Bt, C1 and C2</t>
  </si>
  <si>
    <t>Inorganic N, NH4-N</t>
  </si>
  <si>
    <t>Bt</t>
  </si>
  <si>
    <t>C1</t>
  </si>
  <si>
    <t>C2</t>
  </si>
  <si>
    <t>Total NO3-N leaching (kg per ha)</t>
  </si>
  <si>
    <t>Rivers</t>
  </si>
  <si>
    <t xml:space="preserve">Ariel </t>
  </si>
  <si>
    <t>Carabidae community species richness</t>
  </si>
  <si>
    <t>Ritter</t>
  </si>
  <si>
    <t xml:space="preserve">W.F. </t>
  </si>
  <si>
    <t>Journal of Contaminant Hydrology</t>
  </si>
  <si>
    <t>Poultry manure</t>
  </si>
  <si>
    <t>Composted poultry manure</t>
  </si>
  <si>
    <t>Commercial fertilizer</t>
  </si>
  <si>
    <t>Available Nitrogen Use Efficiency</t>
  </si>
  <si>
    <t>Comments on Provent erosion, such as Available Nitrogen Use Efficiency, nitrogen uptake by cover crop</t>
  </si>
  <si>
    <t>OC_Comments</t>
  </si>
  <si>
    <t>N_Comments</t>
  </si>
  <si>
    <t>P_Comments</t>
  </si>
  <si>
    <t>Aggre_Comments</t>
  </si>
  <si>
    <t>EC_Comments</t>
  </si>
  <si>
    <t>Infiltration_Comments</t>
  </si>
  <si>
    <t>Mass of N leached on lage plots (kg per ha)</t>
  </si>
  <si>
    <t>N concentration in drainage as prevent_erosion due to multiple erosion indicator available</t>
  </si>
  <si>
    <t>Sainju</t>
  </si>
  <si>
    <t>Upendra M.</t>
  </si>
  <si>
    <t>Europ. J. Agronomy</t>
  </si>
  <si>
    <t>Agricultural Research Station Farm, Georgia</t>
  </si>
  <si>
    <t>Strip tillage</t>
  </si>
  <si>
    <t>Chisel tillage</t>
  </si>
  <si>
    <t>60 Kg N per ha</t>
  </si>
  <si>
    <t>120 Kg N per ha</t>
  </si>
  <si>
    <t>Cotton lint N uptake (kg per ha)</t>
  </si>
  <si>
    <t>65 Kg N per ha</t>
  </si>
  <si>
    <t>130 Kg N per ha</t>
  </si>
  <si>
    <t>Cotton-Sorghum</t>
  </si>
  <si>
    <t>Fallow and winter weeds</t>
  </si>
  <si>
    <t>Apr</t>
  </si>
  <si>
    <t>Nov</t>
  </si>
  <si>
    <t>Schipanski</t>
  </si>
  <si>
    <t>Meagan E.</t>
  </si>
  <si>
    <t>Agricultural Systems</t>
  </si>
  <si>
    <t>Soybean-wheat-corn</t>
  </si>
  <si>
    <t>Simulated 30-year period</t>
  </si>
  <si>
    <t>Ecosystem services, Simulated 30-year period</t>
  </si>
  <si>
    <t>Mixted of four OF sites and two commertial sites</t>
  </si>
  <si>
    <t>Schutter</t>
  </si>
  <si>
    <t xml:space="preserve">M.E. </t>
  </si>
  <si>
    <t>NWREC</t>
  </si>
  <si>
    <t>Triticale</t>
  </si>
  <si>
    <t>Salem</t>
  </si>
  <si>
    <t>Silverton</t>
  </si>
  <si>
    <t>Biol Fertil Soils</t>
  </si>
  <si>
    <t>VRS, Vegetable Research Station, Corvallis,  Oregon</t>
  </si>
  <si>
    <t>Silt Loam</t>
  </si>
  <si>
    <t>Clay</t>
  </si>
  <si>
    <t>Sweetcorn</t>
  </si>
  <si>
    <t>Broccoli-Sweetcorn-Green bean</t>
  </si>
  <si>
    <t>Oat-common vetch-Green bean-Green bean</t>
  </si>
  <si>
    <t>Sweet corn and CC</t>
  </si>
  <si>
    <t>Cauliflower-Sweetcorn</t>
  </si>
  <si>
    <t>Nematodes biomass (mu g per g soil)</t>
  </si>
  <si>
    <t>Bacterial, fungal biomass available</t>
  </si>
  <si>
    <t>Greenbean</t>
  </si>
  <si>
    <t>Microbial fatty acid methyl esters (FAMEs)</t>
  </si>
  <si>
    <t>MicroOrganism_T</t>
  </si>
  <si>
    <t>MicroOrganisml_C</t>
  </si>
  <si>
    <t>MicroOrganism_Comments</t>
  </si>
  <si>
    <t>MicroOrganism_C</t>
  </si>
  <si>
    <t>Auguest</t>
  </si>
  <si>
    <t>mg C per kg soil per 10 day</t>
  </si>
  <si>
    <t>Incubation in tube for 10 days at 25 C</t>
  </si>
  <si>
    <t>BiomassCashCrop_C</t>
  </si>
  <si>
    <t>BiomassCashCrop_T</t>
  </si>
  <si>
    <t>Yield_C</t>
  </si>
  <si>
    <t>Yield_T</t>
  </si>
  <si>
    <t>Yield_Comments</t>
  </si>
  <si>
    <t>BD_Comments</t>
  </si>
  <si>
    <t>From CN ratio, t per ha of 15 cm soil</t>
  </si>
  <si>
    <t>K_Comments</t>
  </si>
  <si>
    <t>pH_Comments</t>
  </si>
  <si>
    <t>Units (%), &lt; 0.84 mm aggregates</t>
  </si>
  <si>
    <t>Penetration_Comments</t>
  </si>
  <si>
    <t>CEC_Comments</t>
  </si>
  <si>
    <t>BS_Comments</t>
  </si>
  <si>
    <t>AWHC_Comments</t>
  </si>
  <si>
    <t>Ks_Comments</t>
  </si>
  <si>
    <t>ST_Comments</t>
  </si>
  <si>
    <t>SWC_Comments</t>
  </si>
  <si>
    <t>Weed_Comments</t>
  </si>
  <si>
    <t>Diseases_Comments</t>
  </si>
  <si>
    <t>Cmina_Comments</t>
  </si>
  <si>
    <t>SIR_Comments</t>
  </si>
  <si>
    <t>CO2BTest_Comments</t>
  </si>
  <si>
    <t>MBC_Comments</t>
  </si>
  <si>
    <t>Nmina_Comments</t>
  </si>
  <si>
    <t>yield_Comments</t>
  </si>
  <si>
    <t>Comments on Yield of control (such as standard deviation, etc)</t>
  </si>
  <si>
    <t>Comments on bulk density of treatment (standard deviation)</t>
  </si>
  <si>
    <t>Comments on organic carbon of treatment (standard deviation)</t>
  </si>
  <si>
    <t>Comments on nitrogen of treatment (standard deviation)</t>
  </si>
  <si>
    <t>Comments on phosphorus of treatment (standard deviation)</t>
  </si>
  <si>
    <t>K_Coments</t>
  </si>
  <si>
    <t>Comments on potassium of treatment (standard deviation)</t>
  </si>
  <si>
    <t>Comments on pH of treatment (standard deviation)</t>
  </si>
  <si>
    <t>Comments on Soil aggregation of treatment (standard deviation)</t>
  </si>
  <si>
    <t>Comments on CEC of treatment (standard deviation)</t>
  </si>
  <si>
    <t>Comments on Base Satuatio of treatment (standard deviation)</t>
  </si>
  <si>
    <t>Comments on Available water hold capacity of treatment (standard deviation)</t>
  </si>
  <si>
    <t>Comments on Field satuted hydrolic conductivity of treatment (standard deviation)</t>
  </si>
  <si>
    <t>Comments on Erosion rate sediment, nitrogen leaching, leaching potention treatment (standard deviation)</t>
  </si>
  <si>
    <t>Comments on Soil temperature of treatment (standard deviation)</t>
  </si>
  <si>
    <t>Comments on Weed of treatment (standard deviation)</t>
  </si>
  <si>
    <t>Comments on Soil water content of treatment (standard deviation)</t>
  </si>
  <si>
    <t>Comments on Diseases of treatment (standard deviation)/pest</t>
  </si>
  <si>
    <t>Comments on Carbon minierazation of treatment (Standard diviation)</t>
  </si>
  <si>
    <t>Comments on Nitrogen minierazation of treatment (Standard diviation)</t>
  </si>
  <si>
    <t>Comments on CO2 burst test respiration respiration of treatment (Standard diviation)</t>
  </si>
  <si>
    <t>Comments on Microbe Biomass Carbon of treatment (Standard diviation)</t>
  </si>
  <si>
    <t>Notes1</t>
  </si>
  <si>
    <t>Other notes, comments 1</t>
  </si>
  <si>
    <t>BiomassCash_Comments</t>
  </si>
  <si>
    <t>BiomassCashCrop_Comments</t>
  </si>
  <si>
    <t>Shoot dry weight (g)</t>
  </si>
  <si>
    <t>Units: kg per ha</t>
  </si>
  <si>
    <t>Scott</t>
  </si>
  <si>
    <t>H.D.</t>
  </si>
  <si>
    <t>Delta branch experiment station clarkedale</t>
  </si>
  <si>
    <t>Dubba-Dundee soil</t>
  </si>
  <si>
    <t>Lupine</t>
  </si>
  <si>
    <t>Arkansas agriculture experiment station bulletin</t>
  </si>
  <si>
    <t>7 year</t>
  </si>
  <si>
    <t>8 year</t>
  </si>
  <si>
    <t>9 year</t>
  </si>
  <si>
    <t>11 year</t>
  </si>
  <si>
    <t>12 year</t>
  </si>
  <si>
    <t>13 year</t>
  </si>
  <si>
    <t>14 year</t>
  </si>
  <si>
    <t>16 year</t>
  </si>
  <si>
    <t>448 (13-13-13)+112 NH4NO3 Kg per ha</t>
  </si>
  <si>
    <t>112 (13-13-13) Kg per ha</t>
  </si>
  <si>
    <t>336 (13-13-13) Kg per ha</t>
  </si>
  <si>
    <t>280 NH4NO3 Kg per ha</t>
  </si>
  <si>
    <t>280 (13-13-13)+112 NH4NO3 Kg per ha</t>
  </si>
  <si>
    <t>308 (13-13-13) Kg per ha</t>
  </si>
  <si>
    <t>140 NH4NO3+4 urea Kg per ha</t>
  </si>
  <si>
    <t>336 (13-13-13)+112 NH4NO3 Kg per ha</t>
  </si>
  <si>
    <t>190 (0-0-60)+112 NH4NO3 Kg per ha</t>
  </si>
  <si>
    <t>Soil properties indicator were 16 years average (set as 8)</t>
  </si>
  <si>
    <t>Number of year is 8</t>
  </si>
  <si>
    <t>SWC(33)-SWC(1500)</t>
  </si>
  <si>
    <t>SWC(30)-SWC(1500)</t>
  </si>
  <si>
    <t>Infiltration rate of control (mean value), water</t>
  </si>
  <si>
    <t>Infiltration rate of treatment (mean value), water</t>
  </si>
  <si>
    <t>Infiltration rate of treatment (standard deviation), water</t>
  </si>
  <si>
    <t>Penetration resistance of control (mean value), root</t>
  </si>
  <si>
    <t>Penetration resistance of treatment (mean value), root</t>
  </si>
  <si>
    <t>Comments on Penetration resistance of treatment (standard deviation), root</t>
  </si>
  <si>
    <t>Active C as Cmin, MBC to small, units convert?, We determined penetration resistance using a constant rate recording cone penetrometer with a cone base of 129 mm2 and a penetration rate of 8 mm s–1 (Lowery, 1986).</t>
  </si>
  <si>
    <t>Penetrometer resisteance (Fig 2)</t>
  </si>
  <si>
    <t>Cone index (Mpa), similar as studyID 29</t>
  </si>
  <si>
    <t>Capillary porosity as root penetration indicator</t>
  </si>
  <si>
    <t>Micro and macro porse, Macro porse as penetration indicator</t>
  </si>
  <si>
    <t>Staver</t>
  </si>
  <si>
    <t>K.W.</t>
  </si>
  <si>
    <t>Journal of  Soil  and Water  Conservation</t>
  </si>
  <si>
    <t>Winter CC</t>
  </si>
  <si>
    <t>TimeCC</t>
  </si>
  <si>
    <t>Time_CC</t>
  </si>
  <si>
    <t>OCT-10, Winter CC</t>
  </si>
  <si>
    <t>Time_Comments</t>
  </si>
  <si>
    <t>Comments about sampling time and others</t>
  </si>
  <si>
    <t>OCT-22, Winter CC</t>
  </si>
  <si>
    <t>Time of cover crop planted, winter or summer CC</t>
  </si>
  <si>
    <t>OCT-28, Winter CC</t>
  </si>
  <si>
    <t>OCT-6, Winter CC</t>
  </si>
  <si>
    <t>Sep-22, Winter CC</t>
  </si>
  <si>
    <t>Sep-28, Winter CC</t>
  </si>
  <si>
    <t>OCT-8, Winter CC</t>
  </si>
  <si>
    <t>OCT-7, Winter CC</t>
  </si>
  <si>
    <t>OCT-13, Winter CC</t>
  </si>
  <si>
    <t>OCT-1, Winter CC</t>
  </si>
  <si>
    <t>OCT-2, Winter CC</t>
  </si>
  <si>
    <t>OCT-27, Winter CC</t>
  </si>
  <si>
    <t>OCT</t>
  </si>
  <si>
    <t>DEC</t>
  </si>
  <si>
    <t>Jan</t>
  </si>
  <si>
    <t>Jun</t>
  </si>
  <si>
    <t>Sep</t>
  </si>
  <si>
    <t>Oct</t>
  </si>
  <si>
    <t>Aug</t>
  </si>
  <si>
    <t>Soil-nitrate-N</t>
  </si>
  <si>
    <t>Queen Annes County, Maryland</t>
  </si>
  <si>
    <t>Stover (kg per ha)</t>
  </si>
  <si>
    <t>156 kg N per ha</t>
  </si>
  <si>
    <t>Biomass of cach crop (usually not include yield) of control</t>
  </si>
  <si>
    <t>Biomass of cach crop (usually not include yield) of cover crop</t>
  </si>
  <si>
    <t xml:space="preserve">Comments on biomass of cach crop (usually not include yield) </t>
  </si>
  <si>
    <t>Units varied</t>
  </si>
  <si>
    <t>Leachate Nitrate-N (mg per l)</t>
  </si>
  <si>
    <t>Pre-plant</t>
  </si>
  <si>
    <t>Post-plant</t>
  </si>
  <si>
    <t>kg per ha = 0.11 mg per kg</t>
  </si>
  <si>
    <t>Steele</t>
  </si>
  <si>
    <t>M.K.</t>
  </si>
  <si>
    <t>Coastal  Plain, Maryland (Site 2)</t>
  </si>
  <si>
    <t>Piedmont, Maryland (Site 3)</t>
  </si>
  <si>
    <t>According to University of Maryland extension recommendation</t>
  </si>
  <si>
    <t>OCT-8</t>
  </si>
  <si>
    <t>NOV-7</t>
  </si>
  <si>
    <t>Season</t>
  </si>
  <si>
    <t>Off-season</t>
  </si>
  <si>
    <t>Water stable aggregates (WSA) &lt; 2 but &gt; 0.5</t>
  </si>
  <si>
    <t>Water stable aggregates (WSA) &gt; 2 ( g per g to %)</t>
  </si>
  <si>
    <t>Mg/ha</t>
  </si>
  <si>
    <t>g per kg = 0.1%</t>
  </si>
  <si>
    <t>Units for OC need double check</t>
  </si>
  <si>
    <t>TOC, Mg per ha = 0.073 %</t>
  </si>
  <si>
    <t>Labile C</t>
  </si>
  <si>
    <t>Site1, mm/s = mm/h*3600</t>
  </si>
  <si>
    <t>Site2, mm/s = mm/h*3600</t>
  </si>
  <si>
    <t>Site3, mm/s = mm/h*3600</t>
  </si>
  <si>
    <t>Ks, Hydrulic conductivity</t>
  </si>
  <si>
    <t>mm / s</t>
  </si>
  <si>
    <t>mm/s=360cm/h</t>
  </si>
  <si>
    <t>Air permeability (mu m2)</t>
  </si>
  <si>
    <t>Porosity_C</t>
  </si>
  <si>
    <t>Porosity_T</t>
  </si>
  <si>
    <t>Porosity_Comments</t>
  </si>
  <si>
    <t>Porosity, air permeability of control (mean value)</t>
  </si>
  <si>
    <t>Porosity, air permeability of treatment (mean value)</t>
  </si>
  <si>
    <t>Comments on Porosity, air permeability of treatment (standard deviation</t>
  </si>
  <si>
    <t>Stipesevic</t>
  </si>
  <si>
    <t>Bojan</t>
  </si>
  <si>
    <t>Purdue University PhD dissertation</t>
  </si>
  <si>
    <t>Southeast Purdue Agricultural Center (SEPAC)</t>
  </si>
  <si>
    <t xml:space="preserve">Throckmorton Purdue Agricultural Center (TPAC) </t>
  </si>
  <si>
    <t>Early desccation</t>
  </si>
  <si>
    <t>Regular desiccation</t>
  </si>
  <si>
    <t>Before corn plant</t>
  </si>
  <si>
    <t>After corn plant</t>
  </si>
  <si>
    <t>% vol/vol (total)</t>
  </si>
  <si>
    <t>Air fill porosity</t>
  </si>
  <si>
    <t>Mean weight diameter (mm)</t>
  </si>
  <si>
    <t>cm/h to mm per h</t>
  </si>
  <si>
    <t>cm/h</t>
  </si>
  <si>
    <t>5-31 VMW to GMW</t>
  </si>
  <si>
    <t>6-5 VWM to GMW</t>
  </si>
  <si>
    <t>4-26 VMW</t>
  </si>
  <si>
    <t>5-15 VMW</t>
  </si>
  <si>
    <t>6-20 VMW</t>
  </si>
  <si>
    <t>5-10 VMW</t>
  </si>
  <si>
    <t>5-14 VMW</t>
  </si>
  <si>
    <t>5-24 VMW</t>
  </si>
  <si>
    <t>Other indicators in fig</t>
  </si>
  <si>
    <t>Soybean-corn</t>
  </si>
  <si>
    <t>Vane shear strength measurement of soil compaction (Mpa)</t>
  </si>
  <si>
    <t>Corn heights (cm)</t>
  </si>
  <si>
    <t>Strock</t>
  </si>
  <si>
    <t>J.S.</t>
  </si>
  <si>
    <t>Journal of Environmental Quality</t>
  </si>
  <si>
    <t>Southwest research and outreach center</t>
  </si>
  <si>
    <t>Urea, P and K</t>
  </si>
  <si>
    <t>Disk cultivation</t>
  </si>
  <si>
    <t>Rye plant at Oct-1</t>
  </si>
  <si>
    <t>Residual NO3-N (kg/ha)</t>
  </si>
  <si>
    <t>Teasdale</t>
  </si>
  <si>
    <t xml:space="preserve">J.R.  </t>
  </si>
  <si>
    <t>Beltsville, MD</t>
  </si>
  <si>
    <t>Rye plant at Suptember</t>
  </si>
  <si>
    <t>Vtech plant at Suptember</t>
  </si>
  <si>
    <t>Bare soil</t>
  </si>
  <si>
    <t>DOY 220</t>
  </si>
  <si>
    <t>DOY 224</t>
  </si>
  <si>
    <t>DOY 228</t>
  </si>
  <si>
    <t>DOY 232</t>
  </si>
  <si>
    <t>DOY 236</t>
  </si>
  <si>
    <t>DOY 240</t>
  </si>
  <si>
    <t>DOY 244</t>
  </si>
  <si>
    <t>DOY 248</t>
  </si>
  <si>
    <t>DOY 252</t>
  </si>
  <si>
    <t>DOY 256</t>
  </si>
  <si>
    <t>DOY 260</t>
  </si>
  <si>
    <t>Transmittance, hotosynthetically active radiation at indicators available</t>
  </si>
  <si>
    <t>Terra</t>
  </si>
  <si>
    <t>J.A.</t>
  </si>
  <si>
    <t>Ithaca, NY</t>
  </si>
  <si>
    <t>Agricultural Experiment Station, Alabama</t>
  </si>
  <si>
    <t>No manure</t>
  </si>
  <si>
    <t>Conservation</t>
  </si>
  <si>
    <t>With manure</t>
  </si>
  <si>
    <t>CNOfCoverCrop</t>
  </si>
  <si>
    <t>Units Mg/ha to %</t>
  </si>
  <si>
    <t>Corn-cotton</t>
  </si>
  <si>
    <t>Dairy manure</t>
  </si>
  <si>
    <t>Coton</t>
  </si>
  <si>
    <t>Total microbial Biomass, measurement of phospholipid fatty acids</t>
  </si>
  <si>
    <t>Using Cover Crops In Oregon</t>
  </si>
  <si>
    <t xml:space="preserve">Richard </t>
  </si>
  <si>
    <t>Dick</t>
  </si>
  <si>
    <t>North Willamette Research and Extension Center</t>
  </si>
  <si>
    <t>NLeaching_C</t>
  </si>
  <si>
    <t>NLeaching_T</t>
  </si>
  <si>
    <t>NLeaching_Comments</t>
  </si>
  <si>
    <t>ProventLeaching_T</t>
  </si>
  <si>
    <t>ProventLeaching_Comments</t>
  </si>
  <si>
    <t>ProventLeaching_C</t>
  </si>
  <si>
    <t>NOV</t>
  </si>
  <si>
    <t>Feb</t>
  </si>
  <si>
    <t>Mar</t>
  </si>
  <si>
    <t>Dec</t>
  </si>
  <si>
    <t>NO3 mg per L</t>
  </si>
  <si>
    <t>Veum</t>
  </si>
  <si>
    <t xml:space="preserve">K.S. </t>
  </si>
  <si>
    <t>Salt River Basin Central Claypan Region,Missouri</t>
  </si>
  <si>
    <t>Corn–soybean</t>
  </si>
  <si>
    <t>Corn–soybean–wheat</t>
  </si>
  <si>
    <t xml:space="preserve">Water stable aggregates (%) </t>
  </si>
  <si>
    <t>OC</t>
  </si>
  <si>
    <t>β-glucosidase (mg PNP kg–1 h–1)</t>
  </si>
  <si>
    <t>mg/kg</t>
  </si>
  <si>
    <t>dS m–1</t>
  </si>
  <si>
    <t>Units: dS m–1</t>
  </si>
  <si>
    <t xml:space="preserve">Extractable P (mg kg–1) </t>
  </si>
  <si>
    <t xml:space="preserve">Extractable K (mg kg–1) </t>
  </si>
  <si>
    <t>Ca,Mg,Cu,Fe,Mg,Zn,SQI or SMAF available</t>
  </si>
  <si>
    <t>NTCS-17 vs NTCSW14</t>
  </si>
  <si>
    <t>NTCS-4 vs NTCSWM5</t>
  </si>
  <si>
    <t>Mulch tillage</t>
  </si>
  <si>
    <t>Beef livestock manure of 11 Mg N per ha</t>
  </si>
  <si>
    <t>Villamil</t>
  </si>
  <si>
    <t>M.B.</t>
  </si>
  <si>
    <t>Urbana, IL, USA</t>
  </si>
  <si>
    <t>135 kg N per ha</t>
  </si>
  <si>
    <t>Period 1 Corn</t>
  </si>
  <si>
    <t>SOM</t>
  </si>
  <si>
    <t>Kg/Mg</t>
  </si>
  <si>
    <t>Period 2 Soybean</t>
  </si>
  <si>
    <t>NO3-N</t>
  </si>
  <si>
    <t>Increase PR (MPa) means closer contact between particles</t>
  </si>
  <si>
    <t>Units:Mpa</t>
  </si>
  <si>
    <t>Erosion_C</t>
  </si>
  <si>
    <t>Erosion_T</t>
  </si>
  <si>
    <t>Erosion_Comments</t>
  </si>
  <si>
    <t xml:space="preserve">Water erosion, wind erosion of control </t>
  </si>
  <si>
    <t>Water erosion, wind erosion of cover crop</t>
  </si>
  <si>
    <t>Comments on water erosion, wind erosion</t>
  </si>
  <si>
    <t>Total porosity</t>
  </si>
  <si>
    <t>Plant available water (PAW, %)</t>
  </si>
  <si>
    <t>Jokela</t>
  </si>
  <si>
    <t>William</t>
  </si>
  <si>
    <t>10 year</t>
  </si>
  <si>
    <t>1990 to 2008</t>
  </si>
  <si>
    <t xml:space="preserve"> Wisconsin Integrated Cropping Systems Trial</t>
  </si>
  <si>
    <t>CS3-C vs CS1-C</t>
  </si>
  <si>
    <t>CS4-C vs CS1-C</t>
  </si>
  <si>
    <t>CS4-A vs CS1-C</t>
  </si>
  <si>
    <t>CS5-C vs CS1-C</t>
  </si>
  <si>
    <t>CS5-A vs CS1-C</t>
  </si>
  <si>
    <t>CS6-P vs CS1-C</t>
  </si>
  <si>
    <t>Mixted pasture</t>
  </si>
  <si>
    <t>Chisel and none</t>
  </si>
  <si>
    <t>145-5-20 kg N per ha</t>
  </si>
  <si>
    <t>146 kg N per ha</t>
  </si>
  <si>
    <t>241-23-160 kg N per ha</t>
  </si>
  <si>
    <t>240-24-160 kg N per ha</t>
  </si>
  <si>
    <t>182-17-120 kg N per ha</t>
  </si>
  <si>
    <t>176-16-117 kg N per ha</t>
  </si>
  <si>
    <t>52-5-31 kg N per ha</t>
  </si>
  <si>
    <t>n mol / kg</t>
  </si>
  <si>
    <t xml:space="preserve">nmol per kg to mgkg-1 </t>
  </si>
  <si>
    <t>CS3-C vs CS2-C</t>
  </si>
  <si>
    <t>CS4-C vs CS2-C</t>
  </si>
  <si>
    <t>CS4-A vs CS2-C</t>
  </si>
  <si>
    <t>CS5-C vs CS2-C</t>
  </si>
  <si>
    <t>CS5-A vs CS2-C</t>
  </si>
  <si>
    <t>CS6-P vs CS2-C</t>
  </si>
  <si>
    <t>136-4-19 kg N per ha</t>
  </si>
  <si>
    <t>no tillage</t>
  </si>
  <si>
    <t>nmol per kg to mgkg-1</t>
  </si>
  <si>
    <t>Water-stable aggregates (g/kg)</t>
  </si>
  <si>
    <t>Williams</t>
  </si>
  <si>
    <t>M.M.</t>
  </si>
  <si>
    <t>Agricultural Research Development Center, Ithaca</t>
  </si>
  <si>
    <t>Silty clay loam</t>
  </si>
  <si>
    <t>Barley</t>
  </si>
  <si>
    <t>Irrigated</t>
  </si>
  <si>
    <t>Rainfed</t>
  </si>
  <si>
    <t>Spray at June 6</t>
  </si>
  <si>
    <t>Spray at May 23</t>
  </si>
  <si>
    <t>Spray at May 13</t>
  </si>
  <si>
    <t>Canopy volume available</t>
  </si>
  <si>
    <t>Wyland</t>
  </si>
  <si>
    <t xml:space="preserve">L.J. </t>
  </si>
  <si>
    <t xml:space="preserve"> Agriculture,  Ecosystems and Environment </t>
  </si>
  <si>
    <t>Salinas Valley of California</t>
  </si>
  <si>
    <t>Phacelia</t>
  </si>
  <si>
    <t>5-17-1993</t>
  </si>
  <si>
    <t>6-1-1993</t>
  </si>
  <si>
    <t>6-24-1993</t>
  </si>
  <si>
    <t>7-13-1993</t>
  </si>
  <si>
    <t>7-27-1993</t>
  </si>
  <si>
    <t>No.70</t>
  </si>
  <si>
    <t>NO3-N (g/m2 to mg/kg)</t>
  </si>
  <si>
    <t>1m2=657kg</t>
  </si>
  <si>
    <t>Jul</t>
  </si>
  <si>
    <t>MBN available</t>
  </si>
  <si>
    <t>VMW to GMW</t>
  </si>
  <si>
    <t>Springtails(No. Per sample)</t>
  </si>
  <si>
    <t>Mites (No. per sample)</t>
  </si>
  <si>
    <t>Yoo</t>
  </si>
  <si>
    <t>K.H.</t>
  </si>
  <si>
    <t>Soil and Tillage Research</t>
  </si>
  <si>
    <t>101 kg N per ha</t>
  </si>
  <si>
    <t>Belle Mina,  Alabama</t>
  </si>
  <si>
    <t>Soil N (TN, Inorganic N, NO3-N, NH4-N, Nox, NHx, Nox+NHx)</t>
  </si>
  <si>
    <t>Electric Conductivity of control (mean value)</t>
  </si>
  <si>
    <t>Electric Conductivity of treatment (mean value)</t>
  </si>
  <si>
    <t>Comments on EC of treatment (standard deviation)</t>
  </si>
  <si>
    <t>Base Satuation of control (mean value)</t>
  </si>
  <si>
    <t>Microbe/Fungi/Nametode/Mycorrhizal/Earthwarm/Health roots ratio indicator for control</t>
  </si>
  <si>
    <t>Microbe/Fungi/Nametode/Mycorrhizal/Earthwarm/Health roots ratio indicator for cover crop</t>
  </si>
  <si>
    <t>Explation for Microbe/Fungi/Nametode/Earthwarm/Health roots ratio indicator</t>
  </si>
  <si>
    <t>MBN_C</t>
  </si>
  <si>
    <t>MBN_T</t>
  </si>
  <si>
    <t>MBN_Comments</t>
  </si>
  <si>
    <t>Microbe Biomass Nitrogen of control (mean value)</t>
  </si>
  <si>
    <t>Microbe Biomass Nitrogen of treatment (mean value)</t>
  </si>
  <si>
    <t>Comments on Microbe Biomass Nitrogen of treatment (Standard diviation)</t>
  </si>
  <si>
    <t>sediment loss (kg per ha)</t>
  </si>
  <si>
    <t>% of rainoff</t>
  </si>
  <si>
    <t>Before June 21</t>
  </si>
  <si>
    <t>After June 21</t>
  </si>
  <si>
    <t>Zelles</t>
  </si>
  <si>
    <t>L.</t>
  </si>
  <si>
    <t>Potatoes</t>
  </si>
  <si>
    <t>No rotation</t>
  </si>
  <si>
    <t>Winter wheat-oats-potatoes-barley-red clover</t>
  </si>
  <si>
    <t>110-105-140 N/P/K</t>
  </si>
  <si>
    <t>130-130-185 N/P/K</t>
  </si>
  <si>
    <t>150-130-215 N/P/K</t>
  </si>
  <si>
    <t>Lipid phosphate (mu g g-1)</t>
  </si>
  <si>
    <t>beta-glucosidase</t>
  </si>
  <si>
    <t>Several  enzymatic indicators</t>
  </si>
  <si>
    <t>Summer CC</t>
  </si>
  <si>
    <t>Zentner</t>
  </si>
  <si>
    <t xml:space="preserve">R.P. </t>
  </si>
  <si>
    <t>Canadian Journal Of Plant Science</t>
  </si>
  <si>
    <t>Germany</t>
  </si>
  <si>
    <t>Summer fallow</t>
  </si>
  <si>
    <t>28 kg N per ha</t>
  </si>
  <si>
    <t>389 kg N per ha</t>
  </si>
  <si>
    <t>1987-1998</t>
  </si>
  <si>
    <t>F-(W)-W vs Leg-(W)-W</t>
  </si>
  <si>
    <t>Straw</t>
  </si>
  <si>
    <t>BiomassCash_C</t>
  </si>
  <si>
    <t>BiomassCash_T</t>
  </si>
  <si>
    <t>N yield and N concentration available</t>
  </si>
  <si>
    <t>Available spring soil water (AvSpSW) = SpSW minus lower limit of available water (mm/120 cm).</t>
  </si>
  <si>
    <t>spSW(mm/120 cm)</t>
  </si>
  <si>
    <t>F-W-(W) vs Leg-W-(W)</t>
  </si>
  <si>
    <t>No.17,D=1.2, BS=1.25</t>
  </si>
  <si>
    <t>No.73</t>
  </si>
  <si>
    <t>kg/ha to mg/kg</t>
  </si>
  <si>
    <t>Water use efficiency (kg ha-1 mm-1)</t>
  </si>
  <si>
    <t>Zhou</t>
  </si>
  <si>
    <t>X.G.</t>
  </si>
  <si>
    <t>Plant Disease Management Reports</t>
  </si>
  <si>
    <t>Texas A&amp;M University System’s Agrilife Research and Extension Center, Beaumont, TX.</t>
  </si>
  <si>
    <t>Rice</t>
  </si>
  <si>
    <t>Brassica</t>
  </si>
  <si>
    <t>Sheath blight severity (0-9)</t>
  </si>
  <si>
    <t>Unsprayed control</t>
  </si>
  <si>
    <t>MBI-600 (108 cfu/ml)</t>
  </si>
  <si>
    <t>MBI-600 (108 cfu/ml) plus Quadris (4.5 fl oz/A)</t>
  </si>
  <si>
    <t>Quadris (9 fl oz/A)</t>
  </si>
  <si>
    <t>Quadris (4.5 fl oz/A)</t>
  </si>
  <si>
    <t>Swift  Current,  Saskatchewan, Canada</t>
  </si>
  <si>
    <t>Zhu</t>
  </si>
  <si>
    <t>J.C.</t>
  </si>
  <si>
    <t>Kingdom City, MO</t>
  </si>
  <si>
    <t>Estblishment period</t>
  </si>
  <si>
    <t>Maturing crop period</t>
  </si>
  <si>
    <t>Residue or stubble period</t>
  </si>
  <si>
    <t>Annual</t>
  </si>
  <si>
    <t>Seed bed</t>
  </si>
  <si>
    <t xml:space="preserve"> 6-10-20 N-P-K</t>
  </si>
  <si>
    <t>Run off (mm)</t>
  </si>
  <si>
    <t>Soil losses (kg/ha)</t>
  </si>
  <si>
    <t>Microelement</t>
  </si>
  <si>
    <t>Whether reported microelement (Mn, Zn etc.)</t>
  </si>
  <si>
    <t>MBC/K/MBN</t>
  </si>
  <si>
    <t>&lt; 0.84 mm aggregates (wind erosion)</t>
  </si>
  <si>
    <t>&gt; 19.2 mm aggregates</t>
  </si>
  <si>
    <t>Score, no units *20 to match with following</t>
  </si>
  <si>
    <t>Labile C, g per ha to 100 g per ha</t>
  </si>
  <si>
    <t>soybean</t>
  </si>
  <si>
    <t>ItalianRyegrass</t>
  </si>
  <si>
    <t>WinterRye</t>
  </si>
  <si>
    <t>Summer</t>
  </si>
  <si>
    <t>Maize-tomato</t>
  </si>
  <si>
    <t>Harrowed</t>
  </si>
  <si>
    <t>Cut with disk</t>
  </si>
  <si>
    <t>TC, kg per ha to 10 kg per ha</t>
  </si>
  <si>
    <t>MgFe</t>
  </si>
  <si>
    <t>CaMgAl</t>
  </si>
  <si>
    <t>CaMg</t>
  </si>
  <si>
    <t>SOIL ORDER</t>
  </si>
  <si>
    <t>SOIL</t>
  </si>
  <si>
    <t>DESCRIPTION</t>
  </si>
  <si>
    <t>SOIL FAMILY</t>
  </si>
  <si>
    <t>ALFISOLS</t>
  </si>
  <si>
    <t>Soil 1</t>
  </si>
  <si>
    <t>Fine_loamy, mixed</t>
  </si>
  <si>
    <t>Typic Cryoboralfs</t>
  </si>
  <si>
    <t>Soil 2 (Santa Series)</t>
  </si>
  <si>
    <t>Coarse-silty, mixed, frigid</t>
  </si>
  <si>
    <t>Ochreptic Fragixeralfs</t>
  </si>
  <si>
    <t>Soil 3 (Porthill Series)</t>
  </si>
  <si>
    <t>Fine, mixed, frigid Typic</t>
  </si>
  <si>
    <t>Hapioxeralfs</t>
  </si>
  <si>
    <t>ARIDISOLS</t>
  </si>
  <si>
    <t>Soil 4 (Chilcott Series)</t>
  </si>
  <si>
    <t>Fine, montmorillonitic, mesic</t>
  </si>
  <si>
    <t>Abruptic Xerollic Durargids</t>
  </si>
  <si>
    <t>Soil 5 (Colthorp Series)</t>
  </si>
  <si>
    <t>Loamy, mixed, mesic, shallow</t>
  </si>
  <si>
    <t>Xerollic Durargids</t>
  </si>
  <si>
    <t>Soil 6 (Sebree Series)</t>
  </si>
  <si>
    <t>Fine-silty, mixed, mesic</t>
  </si>
  <si>
    <t>Xerollic Nadurargids</t>
  </si>
  <si>
    <t>Soil 7 (Gooding Series)</t>
  </si>
  <si>
    <t>Xerollic Paleargids</t>
  </si>
  <si>
    <t>Soil 8 (Portneuf Series)</t>
  </si>
  <si>
    <t>Coarse-silty, mixed, mesic</t>
  </si>
  <si>
    <t>Durixerollic Calciorthids</t>
  </si>
  <si>
    <t>Soil 9 (Trevino Series</t>
  </si>
  <si>
    <t>Loamy, mixed, mesic Lithic</t>
  </si>
  <si>
    <t>Xerollic Camborthids</t>
  </si>
  <si>
    <t>Soil IO (Owhyee Series)</t>
  </si>
  <si>
    <t>Soil 11 (Minidoka Series)</t>
  </si>
  <si>
    <t>Xerollic Durorthids</t>
  </si>
  <si>
    <t>Soil 12</t>
  </si>
  <si>
    <t>Loamy, mixed, frigid</t>
  </si>
  <si>
    <t>ENTISOLS</t>
  </si>
  <si>
    <t>Soil 13 (Garbutt Series)</t>
  </si>
  <si>
    <t>Coarse-silty, mixed (calcareous), mesic</t>
  </si>
  <si>
    <t>Typic Torriorthents</t>
  </si>
  <si>
    <t>Soil 14 (Flybow Series)</t>
  </si>
  <si>
    <t>Loamy-skeletal, mixed, monacid, mesic</t>
  </si>
  <si>
    <t>Lithic Xerorthents</t>
  </si>
  <si>
    <t>Soil 15 (Pyle Series)</t>
  </si>
  <si>
    <t>Alfic Cryopsamments</t>
  </si>
  <si>
    <t>Soil 16 (Gruincy Series)</t>
  </si>
  <si>
    <t>Mixed, mesic</t>
  </si>
  <si>
    <t>Xeric Torripsamments</t>
  </si>
  <si>
    <t>Soil 17 (Shollrock Series)</t>
  </si>
  <si>
    <t>Mixed, frigid</t>
  </si>
  <si>
    <t>Typic Xeropsamments</t>
  </si>
  <si>
    <t>HISTISOLS</t>
  </si>
  <si>
    <t>Soil 18 (Pywell Series)</t>
  </si>
  <si>
    <t>Euic Typic Borosaprists</t>
  </si>
  <si>
    <t>INCEPTISOLS</t>
  </si>
  <si>
    <t>Soil 19 (Vay Series)</t>
  </si>
  <si>
    <t>Medial over loamy-skeletal, mixed</t>
  </si>
  <si>
    <t>Entic Cryandepts</t>
  </si>
  <si>
    <t>Soil 20 (Bluehill Series)</t>
  </si>
  <si>
    <t>Ashy, mesic</t>
  </si>
  <si>
    <t>Typic Vitrandepts</t>
  </si>
  <si>
    <t>Soil 21</t>
  </si>
  <si>
    <t>Medial over loamy, mixed, frigid</t>
  </si>
  <si>
    <t>Soil 22 (Moonville Series)</t>
  </si>
  <si>
    <t>Cindery, frigid</t>
  </si>
  <si>
    <t>Mollic Vitrandepts</t>
  </si>
  <si>
    <t>Soil 23 (Roseberry Series)</t>
  </si>
  <si>
    <t>Sandy, mixed</t>
  </si>
  <si>
    <t>Humic Cryaquepts</t>
  </si>
  <si>
    <t>Soil 24</t>
  </si>
  <si>
    <t>Loamy-skeletal, mixed</t>
  </si>
  <si>
    <t>Andic Cryochrepts</t>
  </si>
  <si>
    <t>Soil 25</t>
  </si>
  <si>
    <t>Dystric Cryochrepts</t>
  </si>
  <si>
    <t>Soil 26</t>
  </si>
  <si>
    <t>Fine-loamy, mixed</t>
  </si>
  <si>
    <t>Soil 27</t>
  </si>
  <si>
    <t>Coarse-loamy, mixed, frigid</t>
  </si>
  <si>
    <t>Andic Dystrochrepts</t>
  </si>
  <si>
    <t>Soil 28 (Moonville Variant)</t>
  </si>
  <si>
    <t>Andic Xerochrepts</t>
  </si>
  <si>
    <t>Soil 29 (Bonner Series)</t>
  </si>
  <si>
    <t>Coarse-loamy over sandy or sandy skeletal, mixed, frigid</t>
  </si>
  <si>
    <t>Soil 30 (Oxford Series)</t>
  </si>
  <si>
    <t>Fine, montmorillonitic, frigid</t>
  </si>
  <si>
    <t>Vertic Xerochrepts</t>
  </si>
  <si>
    <t>Soil 31 (McCall Series)</t>
  </si>
  <si>
    <t>Typic Cryumbrepts</t>
  </si>
  <si>
    <t>Soil 32</t>
  </si>
  <si>
    <t>Coarse-loamy, mixed</t>
  </si>
  <si>
    <t>Andic Cryumbrepts</t>
  </si>
  <si>
    <t>MOLLISOLS</t>
  </si>
  <si>
    <t>Soil 33 (Southwick Series)</t>
  </si>
  <si>
    <t>Argiaquic Xeric Argialbolls</t>
  </si>
  <si>
    <t>Soil 34 (Houk Series)</t>
  </si>
  <si>
    <t>Soil 35 (Nez Perce Series)</t>
  </si>
  <si>
    <t>Xeric Argialbolls</t>
  </si>
  <si>
    <t>Soil 36 (Drigge Variant)</t>
  </si>
  <si>
    <t>Argic Cryoborrolls</t>
  </si>
  <si>
    <t>Soil 37</t>
  </si>
  <si>
    <t>Argic Pachic Cryoborolls</t>
  </si>
  <si>
    <t>Soil 38 (Greys Series)</t>
  </si>
  <si>
    <t>Fine-silty, mixed</t>
  </si>
  <si>
    <t>Boralfic Cryoboroils</t>
  </si>
  <si>
    <t>Soil 39</t>
  </si>
  <si>
    <t>Very fine, mixed</t>
  </si>
  <si>
    <t>Duric Cryoborolls</t>
  </si>
  <si>
    <t>Soil 40 (Pavohroo Series)</t>
  </si>
  <si>
    <t>Pacfic Cryoborolls</t>
  </si>
  <si>
    <t>Soil 41 (Tannehill Series)</t>
  </si>
  <si>
    <t>Loamy-skeletal, mixed mesic</t>
  </si>
  <si>
    <t>Calcic Argixerolis</t>
  </si>
  <si>
    <t>Soil 42 (Gem Series)</t>
  </si>
  <si>
    <t>Calcic Argixerolls</t>
  </si>
  <si>
    <t>Soil 43 (Gwin Series)</t>
  </si>
  <si>
    <t>Loamy-skeletal, mixed, mesic</t>
  </si>
  <si>
    <t>Lithic Argixerolls</t>
  </si>
  <si>
    <t>Soil 44 (Kilckson Series)</t>
  </si>
  <si>
    <t>Loamy-skeletal, mixed, frigid</t>
  </si>
  <si>
    <t>Ultic Argixerolis</t>
  </si>
  <si>
    <t>Soil 45 (Little Wood Series)</t>
  </si>
  <si>
    <t>Soil 46 (Rexburg Series)</t>
  </si>
  <si>
    <t>Calcic Haploxerolls</t>
  </si>
  <si>
    <t>Soil 47 (Westlake Series)</t>
  </si>
  <si>
    <t>Fine-silty, mixed, frigid</t>
  </si>
  <si>
    <t>Cumulic Ultic Haploxerolls</t>
  </si>
  <si>
    <t>Soil 48 (Hymas Series)</t>
  </si>
  <si>
    <t>Loamy-skeletal, carbonantic, frigid</t>
  </si>
  <si>
    <t>Lithic Haploxerolls</t>
  </si>
  <si>
    <t>Soil 49 (Ola Series)</t>
  </si>
  <si>
    <t>Pachic Haploxerolls</t>
  </si>
  <si>
    <t>Soil 50 (Palouse Series)</t>
  </si>
  <si>
    <t>Pachic Ultic Haploxerolls</t>
  </si>
  <si>
    <t>SPODOSOLS</t>
  </si>
  <si>
    <t>Soil 51</t>
  </si>
  <si>
    <t>Entic Cryorthods</t>
  </si>
  <si>
    <t>VERTISOLS</t>
  </si>
  <si>
    <t>Soil 52 (Magic Series)</t>
  </si>
  <si>
    <t>Entic Chromoxererts</t>
  </si>
  <si>
    <t>Soil 53 (Agar Series)</t>
  </si>
  <si>
    <t>Very fine, montmorillonitic, mesic</t>
  </si>
  <si>
    <t>Soil 54 (Boulder Lake Series)</t>
  </si>
  <si>
    <t>Very fine, montmorillonitic, frigid</t>
  </si>
  <si>
    <t>Chromic Pelloxererts</t>
  </si>
  <si>
    <t>Pachic Ultic Argixeroll</t>
  </si>
  <si>
    <t>SoilFamily</t>
  </si>
  <si>
    <t>Haplustoll</t>
  </si>
  <si>
    <t>Udic Argiustoll</t>
  </si>
  <si>
    <t>Aridic  Haplustolls</t>
  </si>
  <si>
    <t>Wickham</t>
  </si>
  <si>
    <t>Udipsamment</t>
  </si>
  <si>
    <t>Kanhapludults</t>
  </si>
  <si>
    <t>Kegonsa</t>
  </si>
  <si>
    <t xml:space="preserve">Hapludults and Endoaquults </t>
  </si>
  <si>
    <t>Typic Paleudults</t>
  </si>
  <si>
    <t>Chernozem</t>
  </si>
  <si>
    <t>Hagerstown</t>
  </si>
  <si>
    <t>Aquic Argiudolls</t>
  </si>
  <si>
    <t>Typic Hapludalf</t>
  </si>
  <si>
    <t>Typic Hapludults</t>
  </si>
  <si>
    <t>Mesic Lamellic Hapludalf</t>
  </si>
  <si>
    <t>Kandiudult</t>
  </si>
  <si>
    <t>Kingsbury</t>
  </si>
  <si>
    <t>Typic Hapludult</t>
  </si>
  <si>
    <t>Mesic Glossic Hapludulfs</t>
  </si>
  <si>
    <t>Mesic vertic albaqualfs</t>
  </si>
  <si>
    <t>Mesic Typic Hapludalfs</t>
  </si>
  <si>
    <t>Mollic Xerofluvents</t>
  </si>
  <si>
    <t>Mesic Typic Endoaquolls</t>
  </si>
  <si>
    <t>Mesic Typic Hapludalf</t>
  </si>
  <si>
    <t>Thermic Typic Xerorthent</t>
  </si>
  <si>
    <t>Typic Kandhapludults</t>
  </si>
  <si>
    <t>Mesic Typic Glossaquaf</t>
  </si>
  <si>
    <t>Calcic Hapludoll</t>
  </si>
  <si>
    <t>Ultic Hapludalf</t>
  </si>
  <si>
    <t>Mesic Typic Paleudalf</t>
  </si>
  <si>
    <t>Pachic Ultic Argixerolls</t>
  </si>
  <si>
    <t>Mesic Aridic Argiustols</t>
  </si>
  <si>
    <t>Aridic Argiborolls</t>
  </si>
  <si>
    <t>Mesic Typic Udipsamments</t>
  </si>
  <si>
    <t>Thermic  Rhodic  Paleudult</t>
  </si>
  <si>
    <t>Mesic Typic Argiudolls</t>
  </si>
  <si>
    <t>Typic quartzipssaments</t>
  </si>
  <si>
    <t>Plinthic Paleudults</t>
  </si>
  <si>
    <t>Mesic Pachic Ultic Argixeroll</t>
  </si>
  <si>
    <t>Typic Hapludulfs</t>
  </si>
  <si>
    <t>Aquic Hapludults</t>
  </si>
  <si>
    <t>Agriudolls</t>
  </si>
  <si>
    <t>Typic Fragiochrepts</t>
  </si>
  <si>
    <t>Aquic Paleudults</t>
  </si>
  <si>
    <t>Mesic Vertic Albaqualfs</t>
  </si>
  <si>
    <t>Typic Argiudoll</t>
  </si>
  <si>
    <t>Thermic Typic Argixeroll</t>
  </si>
  <si>
    <t>Rhodic Paleudults</t>
  </si>
  <si>
    <t>Loess</t>
  </si>
  <si>
    <t>Orthic Brown Chernozem</t>
  </si>
  <si>
    <t>League-type soil</t>
  </si>
  <si>
    <t>Typic Hapludolls</t>
  </si>
  <si>
    <t>NxO_C</t>
  </si>
  <si>
    <t>NxO_T</t>
  </si>
  <si>
    <t>NxO_Comm</t>
  </si>
  <si>
    <t>CO2_C</t>
  </si>
  <si>
    <t>CO2_T</t>
  </si>
  <si>
    <t>CO2_Comm</t>
  </si>
  <si>
    <t>CH4_C</t>
  </si>
  <si>
    <t>CH4_T</t>
  </si>
  <si>
    <t>CH4_Comm</t>
  </si>
  <si>
    <t>ESS</t>
  </si>
  <si>
    <t>SQI</t>
  </si>
  <si>
    <t>Runoff, drainage, nitrogen leaching, leaching potention (mean value)</t>
  </si>
  <si>
    <t>Runoff, drainage, nitrogen leaching, leaching potention of treatment (mean value)</t>
  </si>
  <si>
    <t xml:space="preserve">Provent erosion/runoff, such as Available Nitrogen Use Efficiency, nitrogen uptake by cover crop of control </t>
  </si>
  <si>
    <t>Provent erosion/runoff, such as Available Nitrogen Use Efficiency, nitrogen uptake by cover crop of CC</t>
  </si>
  <si>
    <t>Soil water content of control (mean value), Field capacity, Permanent wilting point, Available water capacity</t>
  </si>
  <si>
    <t>Soil water content of treatment (mean value), Field capacity, Permanent wilting point, Available water capacity</t>
  </si>
  <si>
    <t>Greenhouse gas N2O of control</t>
  </si>
  <si>
    <t>Greenhouse gas N2O of treatment</t>
  </si>
  <si>
    <t>NxO_Comments</t>
  </si>
  <si>
    <t>Greenhouse gas N2O of comments</t>
  </si>
  <si>
    <t>Soil respiration of control</t>
  </si>
  <si>
    <t>Soil respiration of treatment</t>
  </si>
  <si>
    <t>CO2_Comments</t>
  </si>
  <si>
    <t>Comments on soil respiration</t>
  </si>
  <si>
    <t>CH4 emission of control</t>
  </si>
  <si>
    <t>CH4 emission of treatment</t>
  </si>
  <si>
    <t>CH4_Comments</t>
  </si>
  <si>
    <t>Comments on CH4 emission</t>
  </si>
  <si>
    <t>Soil quality indicator</t>
  </si>
  <si>
    <t>Ecosystem services</t>
  </si>
  <si>
    <t>Snap-bean</t>
  </si>
  <si>
    <t>Dry-bean</t>
  </si>
  <si>
    <t>Sweet-corn</t>
  </si>
  <si>
    <t>Soybean-Coker</t>
  </si>
  <si>
    <t>Soybean-Bragg</t>
  </si>
  <si>
    <t>Soybean-Ransom</t>
  </si>
  <si>
    <t>Corn-soybean-wheat</t>
  </si>
  <si>
    <t>Tomato-Safflower-Corn-Bean</t>
  </si>
  <si>
    <t>Winter-wheat</t>
  </si>
  <si>
    <t>Spring-wheat</t>
  </si>
  <si>
    <t>Sweet-corn-broccoli</t>
  </si>
  <si>
    <t>Acorn-Squash</t>
  </si>
  <si>
    <t>Not-available</t>
  </si>
  <si>
    <t>Fallow-Wheat at spring-Wheat at spring</t>
  </si>
  <si>
    <t>Winter-wheat-Sorghum</t>
  </si>
  <si>
    <t>Summer-wheat</t>
  </si>
  <si>
    <t>0-to-20</t>
  </si>
  <si>
    <t>0-to-7.5</t>
  </si>
  <si>
    <t>7.5-to-15</t>
  </si>
  <si>
    <t>0-to-15</t>
  </si>
  <si>
    <t>20-to-40</t>
  </si>
  <si>
    <t>40-to-60</t>
  </si>
  <si>
    <t>60-to-80</t>
  </si>
  <si>
    <t>80-to-100</t>
  </si>
  <si>
    <t>0-to-1.5</t>
  </si>
  <si>
    <t>0-to-10</t>
  </si>
  <si>
    <t>0-to-30</t>
  </si>
  <si>
    <t>15-to-30</t>
  </si>
  <si>
    <t>0-to-18</t>
  </si>
  <si>
    <t>10-to-20</t>
  </si>
  <si>
    <t>20-to-30</t>
  </si>
  <si>
    <t>0-to-5</t>
  </si>
  <si>
    <t>0-to-45</t>
  </si>
  <si>
    <t>45-to-105</t>
  </si>
  <si>
    <t>105-to-195</t>
  </si>
  <si>
    <t>195-to-285</t>
  </si>
  <si>
    <t>0-to-120</t>
  </si>
  <si>
    <t>0-to-25</t>
  </si>
  <si>
    <t>5-to-10</t>
  </si>
  <si>
    <t>30-to-60</t>
  </si>
  <si>
    <t>60-to-90</t>
  </si>
  <si>
    <t>0-to-3</t>
  </si>
  <si>
    <t>25-to-50</t>
  </si>
  <si>
    <t>50-to-80</t>
  </si>
  <si>
    <t>80-to-125</t>
  </si>
  <si>
    <t>10-to-30</t>
  </si>
  <si>
    <t>10-to-15</t>
  </si>
  <si>
    <t>30-to-90</t>
  </si>
  <si>
    <t>0-to-150</t>
  </si>
  <si>
    <t>5-to-15</t>
  </si>
  <si>
    <t>0-to-122</t>
  </si>
  <si>
    <t>5-to-20</t>
  </si>
  <si>
    <t>90-to-120</t>
  </si>
  <si>
    <t>TopLayer</t>
  </si>
  <si>
    <t>0-to-60</t>
  </si>
  <si>
    <t>ID</t>
  </si>
  <si>
    <t>Description</t>
  </si>
  <si>
    <t>Sign</t>
  </si>
  <si>
    <t>Angers</t>
  </si>
  <si>
    <t>D.A.</t>
  </si>
  <si>
    <t>Agron. Sustain</t>
  </si>
  <si>
    <t xml:space="preserve">La PocatiEre, Quebec </t>
  </si>
  <si>
    <t>Alkaline phosphatase  activity</t>
  </si>
  <si>
    <t>Orthic Humic Gleysol</t>
  </si>
  <si>
    <t>Barley-Red Clover</t>
  </si>
  <si>
    <t>Water soluble  carbohydrates</t>
  </si>
  <si>
    <t>Acid-hydrolyzable carbohydratis available</t>
  </si>
  <si>
    <t>Units: mu_g per g soil</t>
  </si>
  <si>
    <t>Beare</t>
  </si>
  <si>
    <t>Michael H.</t>
  </si>
  <si>
    <t>Geoderma</t>
  </si>
  <si>
    <t>Athens, GA, USA</t>
  </si>
  <si>
    <t>Cecil</t>
  </si>
  <si>
    <t xml:space="preserve">No </t>
  </si>
  <si>
    <t>Field moist</t>
  </si>
  <si>
    <t>Benjamin</t>
  </si>
  <si>
    <t>J.G.</t>
  </si>
  <si>
    <t>30-to-40</t>
  </si>
  <si>
    <t>0-to-40</t>
  </si>
  <si>
    <t>Mesic Aridic Paleustolls</t>
  </si>
  <si>
    <t>Macro-aggregates</t>
  </si>
  <si>
    <t>Note</t>
  </si>
  <si>
    <t>Not use</t>
  </si>
  <si>
    <t xml:space="preserve"> Humberto</t>
  </si>
  <si>
    <t>Soil &amp; Water Management &amp; Conservation</t>
  </si>
  <si>
    <t>Hesston, KS</t>
  </si>
  <si>
    <t xml:space="preserve">Silty loam </t>
  </si>
  <si>
    <t>Winter CC (planed in the fall)</t>
  </si>
  <si>
    <t>60 kg N per ha</t>
  </si>
  <si>
    <t>Penetration resistance</t>
  </si>
  <si>
    <t>0.5-0.25 mm agg</t>
  </si>
  <si>
    <t>Mean weight diameter of AGG (mm)</t>
  </si>
  <si>
    <t>Brill</t>
  </si>
  <si>
    <t>G.D.</t>
  </si>
  <si>
    <t>New jersey agriculture experiment station</t>
  </si>
  <si>
    <t>Pea-Bean-Tomatto-SweetCorn</t>
  </si>
  <si>
    <t>Yield/weed/biomass/erosion</t>
  </si>
  <si>
    <t>pounds/acre</t>
  </si>
  <si>
    <t>1 acre = 0.4047 ha</t>
  </si>
  <si>
    <t>1pound=0.4536kg</t>
  </si>
  <si>
    <t>Inches to cm</t>
  </si>
  <si>
    <t>Chu</t>
  </si>
  <si>
    <t>Bei</t>
  </si>
  <si>
    <t>Communications in Soil Science and Plant Analysis</t>
  </si>
  <si>
    <t>Timothy</t>
  </si>
  <si>
    <t>W-C-RC as treatment</t>
  </si>
  <si>
    <t>Enzyme activity-Phenol oxidase</t>
  </si>
  <si>
    <t>Jewett</t>
  </si>
  <si>
    <t xml:space="preserve">M.R. </t>
  </si>
  <si>
    <t>Journal of Sustainable Agriculture</t>
  </si>
  <si>
    <t>East Lansing, MI</t>
  </si>
  <si>
    <t>Arlington, WI</t>
  </si>
  <si>
    <t>Organic Dairy-Corn</t>
  </si>
  <si>
    <t>Conventional Dairy-Corn</t>
  </si>
  <si>
    <t>ALL</t>
  </si>
  <si>
    <t>Average</t>
  </si>
  <si>
    <t>Yield is measured but not reported, use average represent</t>
  </si>
  <si>
    <t>Lupwayi</t>
  </si>
  <si>
    <t>N.Z.</t>
  </si>
  <si>
    <t>SBB</t>
  </si>
  <si>
    <t>Fort Vermilion</t>
  </si>
  <si>
    <t>Continuous-Wheat</t>
  </si>
  <si>
    <t>Shannon index</t>
  </si>
  <si>
    <t>Substrate richness</t>
  </si>
  <si>
    <t>Substrate eveness</t>
  </si>
  <si>
    <t>H</t>
  </si>
  <si>
    <t>E</t>
  </si>
  <si>
    <t>S</t>
  </si>
  <si>
    <t>Many other microbial activity index available</t>
  </si>
  <si>
    <t>Robb</t>
  </si>
  <si>
    <t>David</t>
  </si>
  <si>
    <t>Clemson University Student Organic Farm</t>
  </si>
  <si>
    <t>Plant available N</t>
  </si>
  <si>
    <t>Yield per unit of effort</t>
  </si>
  <si>
    <t>Squash</t>
  </si>
  <si>
    <t>TN(kg per ha)</t>
  </si>
  <si>
    <t>58 kg per ha</t>
  </si>
  <si>
    <t xml:space="preserve"> Urbana, IL</t>
  </si>
  <si>
    <t>Smectitic, mesic, Aquic Argiudolls</t>
  </si>
  <si>
    <t>Corn-Soybean</t>
  </si>
  <si>
    <t>Corn-Rye-Soybean-Rye</t>
  </si>
  <si>
    <t>Corn-Rye-Soybean-Vetch</t>
  </si>
  <si>
    <t>Corn-Rye-Soybean-Vetch-Rye</t>
  </si>
  <si>
    <t>Affect on soil texture available</t>
  </si>
  <si>
    <t>NO3-N, NH4-N == Nmin?</t>
  </si>
  <si>
    <t>plant availabel watre</t>
  </si>
  <si>
    <t>water retained at low tension</t>
  </si>
  <si>
    <t>Texture_C</t>
  </si>
  <si>
    <t>Runof_T</t>
  </si>
  <si>
    <t>Runoff_C</t>
  </si>
  <si>
    <t>Leaching_Comments</t>
  </si>
  <si>
    <t>Runoff_Comments</t>
  </si>
  <si>
    <t>Leaching_C</t>
  </si>
  <si>
    <t>Leaching_T</t>
  </si>
  <si>
    <t>GrainCropGroup</t>
  </si>
  <si>
    <t>CoverCropGroup</t>
  </si>
  <si>
    <t>Cover crop grouped by function or family</t>
  </si>
  <si>
    <t>Grain crop grouped by function or family</t>
  </si>
  <si>
    <t>FR/OA/FM/SS</t>
  </si>
  <si>
    <t>CA/CR/BA/RG</t>
  </si>
  <si>
    <t>FR/OA/CA/CR</t>
  </si>
  <si>
    <t>SH/SB/FR/OA</t>
  </si>
  <si>
    <t>RC/HV/CA/CR</t>
  </si>
  <si>
    <t>SH/SB/CA/CR</t>
  </si>
  <si>
    <t>RC/HV/FR/OA</t>
  </si>
  <si>
    <t>Rye/Rye</t>
  </si>
  <si>
    <t>White_clover</t>
  </si>
  <si>
    <t>White_mustard</t>
  </si>
  <si>
    <t>Trudan_8</t>
  </si>
  <si>
    <t>Rye_grain</t>
  </si>
  <si>
    <t>Crown_Vetch</t>
  </si>
  <si>
    <t>Red_clover</t>
  </si>
  <si>
    <t>Rye/Desiccated</t>
  </si>
  <si>
    <t>Oat/clover</t>
  </si>
  <si>
    <t>Rye/Vetch</t>
  </si>
  <si>
    <t>Rye/Clover</t>
  </si>
  <si>
    <t>Continus_wheat</t>
  </si>
  <si>
    <t>Crimson_clover</t>
  </si>
  <si>
    <t>Tartary_Buckwheat</t>
  </si>
  <si>
    <t>Rye_roots</t>
  </si>
  <si>
    <t>Rye_shoots</t>
  </si>
  <si>
    <t>Vetch_roots</t>
  </si>
  <si>
    <t>Vetch_shoots</t>
  </si>
  <si>
    <t>Winter_wheat</t>
  </si>
  <si>
    <t>Rye/Live_crop</t>
  </si>
  <si>
    <t>Rye/Residue_removed</t>
  </si>
  <si>
    <t>Sunn_hemp</t>
  </si>
  <si>
    <t>red_clover</t>
  </si>
  <si>
    <t>Subterranean_clover</t>
  </si>
  <si>
    <t>Common_Vetch</t>
  </si>
  <si>
    <t>Red_colver</t>
  </si>
  <si>
    <t>Kura_clover</t>
  </si>
  <si>
    <t>Spring_wheat</t>
  </si>
  <si>
    <t>Austrian_winter_pea</t>
  </si>
  <si>
    <t>Field_pea</t>
  </si>
  <si>
    <t>Semileafless_pea</t>
  </si>
  <si>
    <t>Forage_pea</t>
  </si>
  <si>
    <t>Common_chickweed</t>
  </si>
  <si>
    <t>Canada_bluegrass</t>
  </si>
  <si>
    <t>Downy_brome</t>
  </si>
  <si>
    <t>Hairy_vetch</t>
  </si>
  <si>
    <t>Rye_forage</t>
  </si>
  <si>
    <t>Wheat_early_forage</t>
  </si>
  <si>
    <t>Wheat_late_forage</t>
  </si>
  <si>
    <t>Wheat_early_grain</t>
  </si>
  <si>
    <t>Wheat_late_grain</t>
  </si>
  <si>
    <t>Sunn_hemp/Crimson_clover</t>
  </si>
  <si>
    <t>HV83/Rye17</t>
  </si>
  <si>
    <t>HV67/Rye33</t>
  </si>
  <si>
    <t>HV50/Rye50</t>
  </si>
  <si>
    <t>HV33/Rye67</t>
  </si>
  <si>
    <t>HV17/Rye83</t>
  </si>
  <si>
    <t>Oat/Canola/Vetch</t>
  </si>
  <si>
    <t>Oat/canola</t>
  </si>
  <si>
    <t>Canola/Vetch</t>
  </si>
  <si>
    <t>Oat/Vetch</t>
  </si>
  <si>
    <t>Rye_Spring_seeded_spring</t>
  </si>
  <si>
    <t>Rye_Fall_seeded_winter</t>
  </si>
  <si>
    <t>Rye_Fall_seeded_spring</t>
  </si>
  <si>
    <t>Rye_Winter</t>
  </si>
  <si>
    <t>Lentil_Winter</t>
  </si>
  <si>
    <t>Triticale_Winter</t>
  </si>
  <si>
    <t>Barley_Spring_seeded</t>
  </si>
  <si>
    <t>Oat_Spring_seeded</t>
  </si>
  <si>
    <t>Pea_Spring</t>
  </si>
  <si>
    <t>Lentil_Spring</t>
  </si>
  <si>
    <t>Barley_Fall_seeded</t>
  </si>
  <si>
    <t>Oat_Fall_seeded</t>
  </si>
  <si>
    <t>Triticale_Spring</t>
  </si>
  <si>
    <t>Alfalfa/bromegrass</t>
  </si>
  <si>
    <t>Vetch/Rye</t>
  </si>
  <si>
    <t>Triticale/Austrian_winter_pea</t>
  </si>
  <si>
    <t>Barley/Vetch</t>
  </si>
  <si>
    <t>Forage_radish</t>
  </si>
  <si>
    <t>Triticale/Winter_pea</t>
  </si>
  <si>
    <t>Rye/Vetch/Rye</t>
  </si>
  <si>
    <t>CerealRye/CrimsonClover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</si>
</sst>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252C2F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sz val="11"/>
      <color theme="1" tint="0.499984740745262"/>
      <name val="Calibri"/>
      <family val="2"/>
      <scheme val="minor"/>
    </font>
    <font>
      <sz val="9"/>
      <color rgb="FFFF000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rgb="FF8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5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8080"/>
      </left>
      <right/>
      <top style="double">
        <color rgb="FF008080"/>
      </top>
      <bottom/>
      <diagonal/>
    </border>
    <border>
      <left/>
      <right/>
      <top style="double">
        <color rgb="FF008080"/>
      </top>
      <bottom/>
      <diagonal/>
    </border>
    <border>
      <left/>
      <right style="double">
        <color rgb="FF008080"/>
      </right>
      <top style="double">
        <color rgb="FF008080"/>
      </top>
      <bottom/>
      <diagonal/>
    </border>
    <border>
      <left style="double">
        <color rgb="FF008080"/>
      </left>
      <right/>
      <top/>
      <bottom/>
      <diagonal/>
    </border>
    <border>
      <left/>
      <right style="double">
        <color rgb="FF008080"/>
      </right>
      <top/>
      <bottom/>
      <diagonal/>
    </border>
    <border>
      <left style="double">
        <color rgb="FF008080"/>
      </left>
      <right/>
      <top/>
      <bottom style="double">
        <color rgb="FF008080"/>
      </bottom>
      <diagonal/>
    </border>
    <border>
      <left/>
      <right/>
      <top/>
      <bottom style="double">
        <color rgb="FF008080"/>
      </bottom>
      <diagonal/>
    </border>
    <border>
      <left/>
      <right style="double">
        <color rgb="FF008080"/>
      </right>
      <top/>
      <bottom style="double">
        <color rgb="FF00808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4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5" borderId="0" xfId="0" applyFill="1"/>
    <xf numFmtId="11" fontId="0" fillId="0" borderId="0" xfId="0" applyNumberFormat="1"/>
    <xf numFmtId="0" fontId="5" fillId="0" borderId="0" xfId="0" applyFont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0" applyFont="1" applyFill="1" applyAlignment="1">
      <alignment horizontal="left"/>
    </xf>
    <xf numFmtId="0" fontId="3" fillId="7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6" fillId="7" borderId="0" xfId="0" applyFont="1" applyFill="1"/>
    <xf numFmtId="165" fontId="0" fillId="0" borderId="1" xfId="0" applyNumberFormat="1" applyBorder="1" applyAlignment="1">
      <alignment horizontal="left"/>
    </xf>
    <xf numFmtId="0" fontId="2" fillId="0" borderId="0" xfId="0" applyFont="1"/>
    <xf numFmtId="0" fontId="0" fillId="0" borderId="1" xfId="0" applyBorder="1"/>
    <xf numFmtId="0" fontId="0" fillId="8" borderId="0" xfId="0" applyFill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0" fillId="10" borderId="0" xfId="0" applyFill="1" applyAlignment="1">
      <alignment horizontal="left"/>
    </xf>
    <xf numFmtId="0" fontId="3" fillId="11" borderId="0" xfId="0" applyFont="1" applyFill="1" applyAlignment="1">
      <alignment horizontal="left"/>
    </xf>
    <xf numFmtId="0" fontId="0" fillId="1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3" fillId="0" borderId="0" xfId="0" applyFont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0" fillId="0" borderId="1" xfId="0" applyNumberFormat="1" applyBorder="1"/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0" borderId="0" xfId="0" applyFont="1"/>
    <xf numFmtId="0" fontId="8" fillId="8" borderId="0" xfId="0" applyFont="1" applyFill="1"/>
    <xf numFmtId="49" fontId="1" fillId="2" borderId="0" xfId="0" applyNumberFormat="1" applyFont="1" applyFill="1"/>
    <xf numFmtId="49" fontId="3" fillId="6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left"/>
    </xf>
    <xf numFmtId="49" fontId="3" fillId="9" borderId="0" xfId="0" applyNumberFormat="1" applyFont="1" applyFill="1" applyAlignment="1">
      <alignment horizontal="left"/>
    </xf>
    <xf numFmtId="49" fontId="4" fillId="7" borderId="0" xfId="0" applyNumberFormat="1" applyFont="1" applyFill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10" borderId="0" xfId="0" applyNumberFormat="1" applyFill="1" applyAlignment="1">
      <alignment horizontal="left"/>
    </xf>
    <xf numFmtId="49" fontId="3" fillId="11" borderId="0" xfId="0" applyNumberFormat="1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4" fillId="8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3" fillId="12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4" fillId="12" borderId="0" xfId="0" applyFont="1" applyFill="1" applyAlignment="1">
      <alignment horizontal="left"/>
    </xf>
    <xf numFmtId="17" fontId="0" fillId="0" borderId="0" xfId="0" applyNumberFormat="1"/>
    <xf numFmtId="16" fontId="0" fillId="10" borderId="0" xfId="0" applyNumberFormat="1" applyFill="1" applyAlignment="1">
      <alignment horizontal="left"/>
    </xf>
    <xf numFmtId="16" fontId="0" fillId="8" borderId="0" xfId="0" applyNumberFormat="1" applyFill="1" applyAlignment="1">
      <alignment horizontal="left"/>
    </xf>
    <xf numFmtId="0" fontId="9" fillId="10" borderId="0" xfId="0" applyFont="1" applyFill="1" applyAlignment="1">
      <alignment horizontal="left"/>
    </xf>
    <xf numFmtId="49" fontId="9" fillId="10" borderId="0" xfId="0" applyNumberFormat="1" applyFont="1" applyFill="1" applyAlignment="1">
      <alignment horizontal="left"/>
    </xf>
    <xf numFmtId="16" fontId="9" fillId="10" borderId="0" xfId="0" applyNumberFormat="1" applyFont="1" applyFill="1" applyAlignment="1">
      <alignment horizontal="left"/>
    </xf>
    <xf numFmtId="0" fontId="9" fillId="8" borderId="0" xfId="0" applyFont="1" applyFill="1" applyAlignment="1">
      <alignment horizontal="left"/>
    </xf>
    <xf numFmtId="49" fontId="9" fillId="8" borderId="0" xfId="0" applyNumberFormat="1" applyFont="1" applyFill="1" applyAlignment="1">
      <alignment horizontal="left"/>
    </xf>
    <xf numFmtId="16" fontId="9" fillId="8" borderId="0" xfId="0" applyNumberFormat="1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11" fillId="8" borderId="0" xfId="0" applyFont="1" applyFill="1" applyAlignment="1">
      <alignment horizontal="left"/>
    </xf>
    <xf numFmtId="49" fontId="11" fillId="8" borderId="0" xfId="0" applyNumberFormat="1" applyFont="1" applyFill="1" applyAlignment="1">
      <alignment horizontal="left"/>
    </xf>
    <xf numFmtId="0" fontId="11" fillId="10" borderId="0" xfId="0" applyFont="1" applyFill="1" applyAlignment="1">
      <alignment horizontal="left"/>
    </xf>
    <xf numFmtId="49" fontId="11" fillId="10" borderId="0" xfId="0" applyNumberFormat="1" applyFont="1" applyFill="1" applyAlignment="1">
      <alignment horizontal="left"/>
    </xf>
    <xf numFmtId="0" fontId="12" fillId="3" borderId="0" xfId="0" applyFont="1" applyFill="1"/>
    <xf numFmtId="49" fontId="0" fillId="0" borderId="0" xfId="0" applyNumberForma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0" fontId="13" fillId="6" borderId="0" xfId="0" applyFont="1" applyFill="1" applyAlignment="1">
      <alignment horizontal="left"/>
    </xf>
    <xf numFmtId="49" fontId="13" fillId="6" borderId="0" xfId="0" applyNumberFormat="1" applyFont="1" applyFill="1" applyAlignment="1">
      <alignment horizontal="left"/>
    </xf>
    <xf numFmtId="0" fontId="14" fillId="6" borderId="0" xfId="0" applyFont="1" applyFill="1" applyAlignment="1">
      <alignment horizontal="left"/>
    </xf>
    <xf numFmtId="49" fontId="14" fillId="6" borderId="0" xfId="0" applyNumberFormat="1" applyFont="1" applyFill="1" applyAlignment="1">
      <alignment horizontal="left"/>
    </xf>
    <xf numFmtId="0" fontId="14" fillId="9" borderId="0" xfId="0" applyFont="1" applyFill="1" applyAlignment="1">
      <alignment horizontal="left"/>
    </xf>
    <xf numFmtId="49" fontId="14" fillId="9" borderId="0" xfId="0" applyNumberFormat="1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49" fontId="13" fillId="0" borderId="0" xfId="0" applyNumberFormat="1" applyFont="1" applyFill="1" applyAlignment="1">
      <alignment horizontal="left"/>
    </xf>
    <xf numFmtId="0" fontId="13" fillId="9" borderId="0" xfId="0" applyFont="1" applyFill="1" applyAlignment="1">
      <alignment horizontal="left"/>
    </xf>
    <xf numFmtId="49" fontId="13" fillId="9" borderId="0" xfId="0" applyNumberFormat="1" applyFont="1" applyFill="1" applyAlignment="1">
      <alignment horizontal="left"/>
    </xf>
    <xf numFmtId="0" fontId="3" fillId="13" borderId="0" xfId="0" applyFont="1" applyFill="1" applyAlignment="1">
      <alignment horizontal="left"/>
    </xf>
    <xf numFmtId="49" fontId="3" fillId="13" borderId="0" xfId="0" applyNumberFormat="1" applyFont="1" applyFill="1" applyAlignment="1">
      <alignment horizontal="left"/>
    </xf>
    <xf numFmtId="0" fontId="3" fillId="8" borderId="0" xfId="0" applyFont="1" applyFill="1" applyAlignment="1">
      <alignment horizontal="left"/>
    </xf>
    <xf numFmtId="49" fontId="3" fillId="8" borderId="0" xfId="0" applyNumberFormat="1" applyFont="1" applyFill="1" applyAlignment="1">
      <alignment horizontal="left"/>
    </xf>
    <xf numFmtId="0" fontId="3" fillId="10" borderId="0" xfId="0" applyFont="1" applyFill="1" applyAlignment="1">
      <alignment horizontal="left"/>
    </xf>
    <xf numFmtId="49" fontId="3" fillId="10" borderId="0" xfId="0" applyNumberFormat="1" applyFont="1" applyFill="1" applyAlignment="1">
      <alignment horizontal="left"/>
    </xf>
    <xf numFmtId="49" fontId="3" fillId="7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15" fillId="0" borderId="0" xfId="0" applyNumberFormat="1" applyFont="1" applyFill="1" applyAlignment="1">
      <alignment horizontal="left"/>
    </xf>
    <xf numFmtId="0" fontId="15" fillId="8" borderId="0" xfId="0" applyFont="1" applyFill="1" applyAlignment="1">
      <alignment horizontal="left"/>
    </xf>
    <xf numFmtId="49" fontId="15" fillId="8" borderId="0" xfId="0" applyNumberFormat="1" applyFont="1" applyFill="1" applyAlignment="1">
      <alignment horizontal="left"/>
    </xf>
    <xf numFmtId="0" fontId="1" fillId="5" borderId="0" xfId="0" applyFont="1" applyFill="1" applyAlignment="1">
      <alignment horizontal="left"/>
    </xf>
    <xf numFmtId="16" fontId="3" fillId="6" borderId="0" xfId="0" applyNumberFormat="1" applyFont="1" applyFill="1" applyAlignment="1">
      <alignment horizontal="left"/>
    </xf>
    <xf numFmtId="0" fontId="12" fillId="0" borderId="0" xfId="0" applyFont="1"/>
    <xf numFmtId="0" fontId="16" fillId="8" borderId="0" xfId="0" applyFont="1" applyFill="1" applyAlignment="1">
      <alignment horizontal="left"/>
    </xf>
    <xf numFmtId="49" fontId="16" fillId="8" borderId="0" xfId="0" applyNumberFormat="1" applyFont="1" applyFill="1" applyAlignment="1">
      <alignment horizontal="left"/>
    </xf>
    <xf numFmtId="0" fontId="16" fillId="10" borderId="0" xfId="0" applyFont="1" applyFill="1" applyAlignment="1">
      <alignment horizontal="left"/>
    </xf>
    <xf numFmtId="49" fontId="16" fillId="10" borderId="0" xfId="0" applyNumberFormat="1" applyFont="1" applyFill="1" applyAlignment="1">
      <alignment horizontal="left"/>
    </xf>
    <xf numFmtId="0" fontId="16" fillId="6" borderId="0" xfId="0" applyFont="1" applyFill="1" applyAlignment="1">
      <alignment horizontal="left"/>
    </xf>
    <xf numFmtId="49" fontId="16" fillId="6" borderId="0" xfId="0" applyNumberFormat="1" applyFont="1" applyFill="1" applyAlignment="1">
      <alignment horizontal="left"/>
    </xf>
    <xf numFmtId="0" fontId="16" fillId="14" borderId="0" xfId="0" applyFont="1" applyFill="1" applyAlignment="1">
      <alignment horizontal="left"/>
    </xf>
    <xf numFmtId="49" fontId="16" fillId="14" borderId="0" xfId="0" applyNumberFormat="1" applyFont="1" applyFill="1" applyAlignment="1">
      <alignment horizontal="left"/>
    </xf>
    <xf numFmtId="0" fontId="16" fillId="9" borderId="0" xfId="0" applyFont="1" applyFill="1" applyAlignment="1">
      <alignment horizontal="left"/>
    </xf>
    <xf numFmtId="49" fontId="16" fillId="9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17" fillId="15" borderId="0" xfId="0" applyFont="1" applyFill="1" applyAlignment="1">
      <alignment vertical="center" wrapText="1"/>
    </xf>
    <xf numFmtId="0" fontId="19" fillId="15" borderId="0" xfId="0" applyFont="1" applyFill="1" applyAlignment="1">
      <alignment horizontal="left" vertical="center" wrapText="1"/>
    </xf>
    <xf numFmtId="0" fontId="19" fillId="15" borderId="0" xfId="0" applyFont="1" applyFill="1" applyAlignment="1">
      <alignment vertical="center" wrapText="1"/>
    </xf>
    <xf numFmtId="0" fontId="18" fillId="16" borderId="2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horizontal="left" vertical="center" wrapText="1"/>
    </xf>
    <xf numFmtId="0" fontId="18" fillId="16" borderId="3" xfId="0" applyFont="1" applyFill="1" applyBorder="1" applyAlignment="1">
      <alignment vertical="center" wrapText="1"/>
    </xf>
    <xf numFmtId="0" fontId="18" fillId="16" borderId="4" xfId="0" applyFont="1" applyFill="1" applyBorder="1" applyAlignment="1">
      <alignment horizontal="left" vertical="center" wrapText="1"/>
    </xf>
    <xf numFmtId="0" fontId="20" fillId="15" borderId="5" xfId="0" applyFont="1" applyFill="1" applyBorder="1" applyAlignment="1">
      <alignment horizontal="left" vertical="center" wrapText="1"/>
    </xf>
    <xf numFmtId="0" fontId="17" fillId="15" borderId="6" xfId="0" applyFont="1" applyFill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9" fillId="15" borderId="6" xfId="0" applyFont="1" applyFill="1" applyBorder="1" applyAlignment="1">
      <alignment horizontal="left" vertical="center" wrapText="1"/>
    </xf>
    <xf numFmtId="0" fontId="19" fillId="15" borderId="6" xfId="0" applyFont="1" applyFill="1" applyBorder="1" applyAlignment="1">
      <alignment vertical="center" wrapText="1"/>
    </xf>
    <xf numFmtId="0" fontId="17" fillId="15" borderId="7" xfId="0" applyFont="1" applyFill="1" applyBorder="1" applyAlignment="1">
      <alignment vertical="center" wrapText="1"/>
    </xf>
    <xf numFmtId="0" fontId="19" fillId="15" borderId="8" xfId="0" applyFont="1" applyFill="1" applyBorder="1" applyAlignment="1">
      <alignment horizontal="left" vertical="center" wrapText="1"/>
    </xf>
    <xf numFmtId="0" fontId="19" fillId="15" borderId="9" xfId="0" applyFont="1" applyFill="1" applyBorder="1" applyAlignment="1">
      <alignment horizontal="left" vertical="center" wrapText="1"/>
    </xf>
    <xf numFmtId="0" fontId="21" fillId="9" borderId="0" xfId="0" applyFont="1" applyFill="1" applyAlignment="1">
      <alignment horizontal="left"/>
    </xf>
    <xf numFmtId="49" fontId="21" fillId="9" borderId="0" xfId="0" applyNumberFormat="1" applyFont="1" applyFill="1" applyAlignment="1">
      <alignment horizontal="left"/>
    </xf>
    <xf numFmtId="0" fontId="0" fillId="9" borderId="0" xfId="0" applyFill="1" applyAlignment="1">
      <alignment horizontal="left"/>
    </xf>
    <xf numFmtId="0" fontId="4" fillId="10" borderId="0" xfId="0" applyFont="1" applyFill="1" applyAlignment="1">
      <alignment horizontal="left"/>
    </xf>
    <xf numFmtId="49" fontId="4" fillId="10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15" fillId="9" borderId="0" xfId="0" applyFont="1" applyFill="1" applyAlignment="1">
      <alignment horizontal="left"/>
    </xf>
    <xf numFmtId="49" fontId="15" fillId="9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49" fontId="15" fillId="6" borderId="0" xfId="0" applyNumberFormat="1" applyFont="1" applyFill="1" applyAlignment="1">
      <alignment horizontal="left"/>
    </xf>
    <xf numFmtId="0" fontId="1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0</xdr:row>
      <xdr:rowOff>123825</xdr:rowOff>
    </xdr:from>
    <xdr:to>
      <xdr:col>18</xdr:col>
      <xdr:colOff>237469</xdr:colOff>
      <xdr:row>15</xdr:row>
      <xdr:rowOff>142515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123825"/>
          <a:ext cx="5247619" cy="2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17</xdr:row>
      <xdr:rowOff>133350</xdr:rowOff>
    </xdr:from>
    <xdr:to>
      <xdr:col>22</xdr:col>
      <xdr:colOff>475262</xdr:colOff>
      <xdr:row>29</xdr:row>
      <xdr:rowOff>28302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7675" y="3371850"/>
          <a:ext cx="7904762" cy="2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825"/>
  <sheetViews>
    <sheetView tabSelected="1" topLeftCell="R1" zoomScale="85" zoomScaleNormal="85" workbookViewId="0">
      <pane ySplit="1" topLeftCell="A1776" activePane="bottomLeft" state="frozen"/>
      <selection pane="bottomLeft" activeCell="AC1" sqref="AC1:AC1048576"/>
    </sheetView>
  </sheetViews>
  <sheetFormatPr defaultRowHeight="15" x14ac:dyDescent="0.25"/>
  <cols>
    <col min="1" max="6" width="9.140625" style="46"/>
    <col min="7" max="7" width="11.140625" style="46" customWidth="1"/>
    <col min="8" max="15" width="9.140625" style="46"/>
    <col min="16" max="16" width="10.85546875" style="81" customWidth="1"/>
    <col min="17" max="17" width="9.85546875" style="81" customWidth="1"/>
    <col min="18" max="20" width="10.85546875" style="81" customWidth="1"/>
    <col min="21" max="23" width="10.85546875" style="46" customWidth="1"/>
    <col min="24" max="27" width="9.140625" style="46" customWidth="1"/>
    <col min="28" max="28" width="11.140625" style="46" customWidth="1"/>
    <col min="29" max="29" width="30.28515625" style="46" customWidth="1"/>
    <col min="30" max="30" width="17.7109375" style="154" customWidth="1"/>
    <col min="31" max="31" width="11.85546875" style="46" customWidth="1"/>
    <col min="32" max="32" width="14.7109375" style="46" customWidth="1"/>
    <col min="33" max="33" width="10.140625" style="46" customWidth="1"/>
    <col min="34" max="34" width="10.42578125" style="46" customWidth="1"/>
    <col min="35" max="35" width="9.42578125" style="46" customWidth="1"/>
    <col min="36" max="36" width="10.42578125" style="46" customWidth="1"/>
    <col min="37" max="37" width="9.42578125" style="46" customWidth="1"/>
    <col min="38" max="38" width="10.42578125" style="46" customWidth="1"/>
    <col min="39" max="39" width="13.28515625" style="46" customWidth="1"/>
    <col min="40" max="40" width="13.85546875" style="46" customWidth="1"/>
    <col min="41" max="41" width="7.5703125" style="46" customWidth="1"/>
    <col min="42" max="42" width="11.5703125" style="46" customWidth="1"/>
    <col min="43" max="45" width="8.28515625" style="46" customWidth="1"/>
    <col min="46" max="46" width="11.5703125" style="46" customWidth="1"/>
    <col min="47" max="48" width="9.140625" style="46"/>
    <col min="49" max="49" width="15.28515625" style="46" customWidth="1"/>
    <col min="50" max="50" width="15.140625" style="46" customWidth="1"/>
    <col min="51" max="51" width="14.7109375" style="46" customWidth="1"/>
    <col min="52" max="52" width="14" style="46" customWidth="1"/>
    <col min="53" max="53" width="16.85546875" style="46" customWidth="1"/>
    <col min="54" max="55" width="9.140625" style="46"/>
    <col min="56" max="56" width="15" style="46" customWidth="1"/>
    <col min="57" max="58" width="9.140625" style="46"/>
    <col min="59" max="59" width="14" style="46" customWidth="1"/>
    <col min="60" max="61" width="9.140625" style="46"/>
    <col min="62" max="62" width="13.7109375" style="46" customWidth="1"/>
    <col min="63" max="67" width="9.140625" style="46"/>
    <col min="68" max="68" width="11.7109375" style="46" customWidth="1"/>
    <col min="69" max="69" width="9.140625" style="46"/>
    <col min="70" max="70" width="9.42578125" style="46" customWidth="1"/>
    <col min="71" max="71" width="12.5703125" style="46" customWidth="1"/>
    <col min="72" max="73" width="9.140625" style="46"/>
    <col min="74" max="74" width="14" style="46" customWidth="1"/>
    <col min="75" max="76" width="9.140625" style="46"/>
    <col min="77" max="77" width="14.7109375" style="46" customWidth="1"/>
    <col min="78" max="79" width="9.140625" style="46"/>
    <col min="80" max="80" width="14" style="46" customWidth="1"/>
    <col min="81" max="81" width="6.85546875" style="46" customWidth="1"/>
    <col min="82" max="82" width="6.5703125" style="46" customWidth="1"/>
    <col min="83" max="83" width="14.140625" style="46" customWidth="1"/>
    <col min="84" max="85" width="9.140625" style="46"/>
    <col min="86" max="86" width="16.42578125" style="46" customWidth="1"/>
    <col min="87" max="87" width="10.140625" style="46" customWidth="1"/>
    <col min="88" max="88" width="10.5703125" style="46" customWidth="1"/>
    <col min="89" max="89" width="16.42578125" style="46" customWidth="1"/>
    <col min="90" max="90" width="14" style="46" customWidth="1"/>
    <col min="91" max="91" width="12.7109375" style="46" customWidth="1"/>
    <col min="92" max="92" width="20.140625" style="46" customWidth="1"/>
    <col min="93" max="93" width="11.42578125" style="46" customWidth="1"/>
    <col min="94" max="94" width="12" style="46" customWidth="1"/>
    <col min="95" max="95" width="19.5703125" style="46" customWidth="1"/>
    <col min="96" max="96" width="7.140625" style="46" customWidth="1"/>
    <col min="97" max="97" width="6.42578125" style="46" customWidth="1"/>
    <col min="98" max="98" width="12.85546875" style="46" customWidth="1"/>
    <col min="99" max="100" width="9.42578125" style="46" customWidth="1"/>
    <col min="101" max="101" width="12.85546875" style="46" customWidth="1"/>
    <col min="102" max="103" width="9.140625" style="46"/>
    <col min="104" max="104" width="17" style="46" customWidth="1"/>
    <col min="105" max="106" width="15.140625" style="46" customWidth="1"/>
    <col min="107" max="107" width="20" style="46" customWidth="1"/>
    <col min="108" max="108" width="6.140625" style="46" customWidth="1"/>
    <col min="109" max="109" width="6" style="46" customWidth="1"/>
    <col min="110" max="110" width="13" style="46" customWidth="1"/>
    <col min="111" max="111" width="8.140625" style="46" customWidth="1"/>
    <col min="112" max="112" width="7.42578125" style="46" customWidth="1"/>
    <col min="113" max="113" width="15.42578125" style="46" customWidth="1"/>
    <col min="114" max="115" width="9.140625" style="46"/>
    <col min="116" max="116" width="16.5703125" style="46" customWidth="1"/>
    <col min="117" max="117" width="8.42578125" style="46" customWidth="1"/>
    <col min="118" max="118" width="8.140625" style="46" customWidth="1"/>
    <col min="119" max="119" width="15.42578125" style="46" customWidth="1"/>
    <col min="120" max="120" width="11.28515625" style="46" customWidth="1"/>
    <col min="121" max="121" width="10.85546875" style="46" customWidth="1"/>
    <col min="122" max="122" width="18" style="46" customWidth="1"/>
    <col min="123" max="123" width="16.85546875" style="46" customWidth="1"/>
    <col min="124" max="124" width="16.140625" style="46" customWidth="1"/>
    <col min="125" max="125" width="19.85546875" style="46" customWidth="1"/>
    <col min="126" max="127" width="9.140625" style="46"/>
    <col min="128" max="128" width="16.42578125" style="46" customWidth="1"/>
    <col min="129" max="130" width="9.140625" style="46"/>
    <col min="131" max="131" width="12.42578125" style="46" customWidth="1"/>
    <col min="132" max="132" width="8.140625" style="46" customWidth="1"/>
    <col min="133" max="133" width="7" style="46" customWidth="1"/>
    <col min="134" max="134" width="11.42578125" style="46" customWidth="1"/>
    <col min="135" max="135" width="6.5703125" style="46" customWidth="1"/>
    <col min="136" max="136" width="6.28515625" style="46" customWidth="1"/>
    <col min="137" max="137" width="13.5703125" style="46" customWidth="1"/>
    <col min="138" max="138" width="11.28515625" style="46" customWidth="1"/>
    <col min="139" max="139" width="11" style="46" customWidth="1"/>
    <col min="140" max="140" width="16" style="46" customWidth="1"/>
    <col min="141" max="141" width="7.42578125" style="46" customWidth="1"/>
    <col min="142" max="142" width="7" style="46" customWidth="1"/>
    <col min="143" max="143" width="11.28515625" style="46" customWidth="1"/>
    <col min="144" max="144" width="7" style="46" customWidth="1"/>
    <col min="145" max="145" width="7.140625" style="46" customWidth="1"/>
    <col min="146" max="146" width="11.5703125" style="46" customWidth="1"/>
    <col min="147" max="148" width="9.140625" style="46"/>
    <col min="149" max="149" width="14.28515625" style="46" customWidth="1"/>
    <col min="150" max="150" width="9.5703125" style="46" customWidth="1"/>
    <col min="151" max="151" width="9.140625" style="46" customWidth="1"/>
    <col min="152" max="152" width="12.42578125" style="46" customWidth="1"/>
    <col min="153" max="153" width="9.140625" style="46"/>
    <col min="154" max="154" width="5.7109375" style="46" customWidth="1"/>
    <col min="155" max="155" width="6.5703125" style="46" customWidth="1"/>
    <col min="156" max="156" width="9" style="46" customWidth="1"/>
    <col min="157" max="157" width="20.85546875" style="46" customWidth="1"/>
    <col min="158" max="158" width="26.140625" style="46" customWidth="1"/>
    <col min="159" max="16384" width="9.140625" style="46"/>
  </cols>
  <sheetData>
    <row r="1" spans="1:159" s="5" customFormat="1" x14ac:dyDescent="0.25">
      <c r="A1" s="7" t="s">
        <v>143</v>
      </c>
      <c r="B1" s="16" t="s">
        <v>45</v>
      </c>
      <c r="C1" s="16" t="s">
        <v>46</v>
      </c>
      <c r="D1" s="16" t="s">
        <v>6</v>
      </c>
      <c r="E1" s="16" t="s">
        <v>239</v>
      </c>
      <c r="F1" s="16" t="s">
        <v>113</v>
      </c>
      <c r="G1" s="16" t="s">
        <v>4</v>
      </c>
      <c r="H1" s="16" t="s">
        <v>3</v>
      </c>
      <c r="I1" s="16" t="s">
        <v>2</v>
      </c>
      <c r="J1" s="16" t="s">
        <v>112</v>
      </c>
      <c r="K1" s="16" t="s">
        <v>37</v>
      </c>
      <c r="L1" s="16" t="s">
        <v>16</v>
      </c>
      <c r="M1" s="16" t="s">
        <v>38</v>
      </c>
      <c r="N1" s="16" t="s">
        <v>17</v>
      </c>
      <c r="O1" s="16" t="s">
        <v>18</v>
      </c>
      <c r="P1" s="51" t="s">
        <v>152</v>
      </c>
      <c r="Q1" s="16" t="s">
        <v>1058</v>
      </c>
      <c r="R1" s="51" t="s">
        <v>1061</v>
      </c>
      <c r="S1" s="51" t="s">
        <v>7</v>
      </c>
      <c r="T1" s="51" t="s">
        <v>1681</v>
      </c>
      <c r="U1" s="16" t="s">
        <v>342</v>
      </c>
      <c r="V1" s="16" t="s">
        <v>156</v>
      </c>
      <c r="W1" s="16" t="s">
        <v>157</v>
      </c>
      <c r="X1" s="16" t="s">
        <v>15</v>
      </c>
      <c r="Y1" s="16" t="s">
        <v>244</v>
      </c>
      <c r="Z1" s="16" t="s">
        <v>245</v>
      </c>
      <c r="AA1" s="16" t="s">
        <v>246</v>
      </c>
      <c r="AB1" s="16" t="s">
        <v>1544</v>
      </c>
      <c r="AC1" s="16" t="s">
        <v>0</v>
      </c>
      <c r="AD1" s="152" t="s">
        <v>1783</v>
      </c>
      <c r="AE1" s="16" t="s">
        <v>1</v>
      </c>
      <c r="AF1" s="16" t="s">
        <v>1782</v>
      </c>
      <c r="AG1" s="16" t="s">
        <v>650</v>
      </c>
      <c r="AH1" s="16" t="s">
        <v>649</v>
      </c>
      <c r="AI1" s="16" t="s">
        <v>651</v>
      </c>
      <c r="AJ1" s="16" t="s">
        <v>654</v>
      </c>
      <c r="AK1" s="16" t="s">
        <v>653</v>
      </c>
      <c r="AL1" s="16" t="s">
        <v>655</v>
      </c>
      <c r="AM1" s="16" t="s">
        <v>274</v>
      </c>
      <c r="AN1" s="16" t="s">
        <v>273</v>
      </c>
      <c r="AO1" s="16" t="s">
        <v>617</v>
      </c>
      <c r="AP1" s="7" t="s">
        <v>90</v>
      </c>
      <c r="AQ1" s="7" t="s">
        <v>26</v>
      </c>
      <c r="AR1" s="7" t="s">
        <v>25</v>
      </c>
      <c r="AS1" s="7" t="s">
        <v>176</v>
      </c>
      <c r="AT1" s="7" t="s">
        <v>94</v>
      </c>
      <c r="AU1" s="7" t="s">
        <v>93</v>
      </c>
      <c r="AV1" s="7" t="s">
        <v>1182</v>
      </c>
      <c r="AW1" s="16" t="s">
        <v>744</v>
      </c>
      <c r="AX1" s="89" t="s">
        <v>184</v>
      </c>
      <c r="AY1" s="17" t="s">
        <v>1346</v>
      </c>
      <c r="AZ1" s="17" t="s">
        <v>1347</v>
      </c>
      <c r="BA1" s="17" t="s">
        <v>1012</v>
      </c>
      <c r="BB1" s="17" t="s">
        <v>965</v>
      </c>
      <c r="BC1" s="17" t="s">
        <v>966</v>
      </c>
      <c r="BD1" s="17" t="s">
        <v>967</v>
      </c>
      <c r="BE1" s="17" t="s">
        <v>24</v>
      </c>
      <c r="BF1" s="17" t="s">
        <v>23</v>
      </c>
      <c r="BG1" s="17" t="s">
        <v>968</v>
      </c>
      <c r="BH1" s="17" t="s">
        <v>10</v>
      </c>
      <c r="BI1" s="17" t="s">
        <v>9</v>
      </c>
      <c r="BJ1" s="17" t="s">
        <v>907</v>
      </c>
      <c r="BK1" s="17" t="s">
        <v>290</v>
      </c>
      <c r="BL1" s="17" t="s">
        <v>291</v>
      </c>
      <c r="BM1" s="17" t="s">
        <v>908</v>
      </c>
      <c r="BN1" s="17" t="s">
        <v>20</v>
      </c>
      <c r="BO1" s="17" t="s">
        <v>19</v>
      </c>
      <c r="BP1" s="17" t="s">
        <v>909</v>
      </c>
      <c r="BQ1" s="17" t="s">
        <v>22</v>
      </c>
      <c r="BR1" s="17" t="s">
        <v>21</v>
      </c>
      <c r="BS1" s="17" t="s">
        <v>970</v>
      </c>
      <c r="BT1" s="17" t="s">
        <v>12</v>
      </c>
      <c r="BU1" s="17" t="s">
        <v>11</v>
      </c>
      <c r="BV1" s="17" t="s">
        <v>971</v>
      </c>
      <c r="BW1" s="17" t="s">
        <v>32</v>
      </c>
      <c r="BX1" s="17" t="s">
        <v>31</v>
      </c>
      <c r="BY1" s="17" t="s">
        <v>974</v>
      </c>
      <c r="BZ1" s="17" t="s">
        <v>34</v>
      </c>
      <c r="CA1" s="17" t="s">
        <v>33</v>
      </c>
      <c r="CB1" s="17" t="s">
        <v>911</v>
      </c>
      <c r="CC1" s="17" t="s">
        <v>36</v>
      </c>
      <c r="CD1" s="17" t="s">
        <v>35</v>
      </c>
      <c r="CE1" s="17" t="s">
        <v>975</v>
      </c>
      <c r="CF1" s="80" t="s">
        <v>28</v>
      </c>
      <c r="CG1" s="80" t="s">
        <v>27</v>
      </c>
      <c r="CH1" s="80" t="s">
        <v>910</v>
      </c>
      <c r="CI1" s="80" t="s">
        <v>1117</v>
      </c>
      <c r="CJ1" s="80" t="s">
        <v>1118</v>
      </c>
      <c r="CK1" s="80" t="s">
        <v>1119</v>
      </c>
      <c r="CL1" s="17" t="s">
        <v>30</v>
      </c>
      <c r="CM1" s="17" t="s">
        <v>29</v>
      </c>
      <c r="CN1" s="17" t="s">
        <v>973</v>
      </c>
      <c r="CO1" s="17" t="s">
        <v>42</v>
      </c>
      <c r="CP1" s="17" t="s">
        <v>41</v>
      </c>
      <c r="CQ1" s="17" t="s">
        <v>912</v>
      </c>
      <c r="CR1" s="17" t="s">
        <v>120</v>
      </c>
      <c r="CS1" s="17" t="s">
        <v>119</v>
      </c>
      <c r="CT1" s="17" t="s">
        <v>977</v>
      </c>
      <c r="CU1" s="17" t="s">
        <v>1232</v>
      </c>
      <c r="CV1" s="17" t="s">
        <v>1233</v>
      </c>
      <c r="CW1" s="17" t="s">
        <v>1234</v>
      </c>
      <c r="CX1" s="17" t="s">
        <v>1777</v>
      </c>
      <c r="CY1" s="17" t="s">
        <v>1776</v>
      </c>
      <c r="CZ1" s="17" t="s">
        <v>1779</v>
      </c>
      <c r="DA1" s="17" t="s">
        <v>1780</v>
      </c>
      <c r="DB1" s="17" t="s">
        <v>1781</v>
      </c>
      <c r="DC1" s="17" t="s">
        <v>1778</v>
      </c>
      <c r="DD1" s="17" t="s">
        <v>82</v>
      </c>
      <c r="DE1" s="17" t="s">
        <v>83</v>
      </c>
      <c r="DF1" s="17" t="s">
        <v>978</v>
      </c>
      <c r="DG1" s="17" t="s">
        <v>84</v>
      </c>
      <c r="DH1" s="17" t="s">
        <v>85</v>
      </c>
      <c r="DI1" s="17" t="s">
        <v>979</v>
      </c>
      <c r="DJ1" s="17" t="s">
        <v>40</v>
      </c>
      <c r="DK1" s="17" t="s">
        <v>39</v>
      </c>
      <c r="DL1" s="17" t="s">
        <v>976</v>
      </c>
      <c r="DM1" s="80" t="s">
        <v>188</v>
      </c>
      <c r="DN1" s="80" t="s">
        <v>187</v>
      </c>
      <c r="DO1" s="80" t="s">
        <v>980</v>
      </c>
      <c r="DP1" s="18" t="s">
        <v>432</v>
      </c>
      <c r="DQ1" s="18" t="s">
        <v>431</v>
      </c>
      <c r="DR1" s="18" t="s">
        <v>981</v>
      </c>
      <c r="DS1" s="106" t="s">
        <v>957</v>
      </c>
      <c r="DT1" s="18" t="s">
        <v>956</v>
      </c>
      <c r="DU1" s="18" t="s">
        <v>958</v>
      </c>
      <c r="DV1" s="18" t="s">
        <v>122</v>
      </c>
      <c r="DW1" s="18" t="s">
        <v>121</v>
      </c>
      <c r="DX1" s="18" t="s">
        <v>982</v>
      </c>
      <c r="DY1" s="18" t="s">
        <v>126</v>
      </c>
      <c r="DZ1" s="18" t="s">
        <v>125</v>
      </c>
      <c r="EA1" s="18" t="s">
        <v>986</v>
      </c>
      <c r="EB1" s="18" t="s">
        <v>1597</v>
      </c>
      <c r="EC1" s="18" t="s">
        <v>1598</v>
      </c>
      <c r="ED1" s="18" t="s">
        <v>1599</v>
      </c>
      <c r="EE1" s="18" t="s">
        <v>130</v>
      </c>
      <c r="EF1" s="18" t="s">
        <v>129</v>
      </c>
      <c r="EG1" s="18" t="s">
        <v>983</v>
      </c>
      <c r="EH1" s="18" t="s">
        <v>132</v>
      </c>
      <c r="EI1" s="18" t="s">
        <v>131</v>
      </c>
      <c r="EJ1" s="18" t="s">
        <v>984</v>
      </c>
      <c r="EK1" s="18" t="s">
        <v>1600</v>
      </c>
      <c r="EL1" s="18" t="s">
        <v>1601</v>
      </c>
      <c r="EM1" s="18" t="s">
        <v>1602</v>
      </c>
      <c r="EN1" s="18" t="s">
        <v>1603</v>
      </c>
      <c r="EO1" s="18" t="s">
        <v>1604</v>
      </c>
      <c r="EP1" s="18" t="s">
        <v>1605</v>
      </c>
      <c r="EQ1" s="18" t="s">
        <v>196</v>
      </c>
      <c r="ER1" s="18" t="s">
        <v>133</v>
      </c>
      <c r="ES1" s="18" t="s">
        <v>985</v>
      </c>
      <c r="ET1" s="18" t="s">
        <v>1314</v>
      </c>
      <c r="EU1" s="18" t="s">
        <v>1315</v>
      </c>
      <c r="EV1" s="18" t="s">
        <v>1316</v>
      </c>
      <c r="EW1" s="106" t="s">
        <v>1380</v>
      </c>
      <c r="EX1" s="106" t="s">
        <v>1607</v>
      </c>
      <c r="EY1" s="106" t="s">
        <v>1606</v>
      </c>
      <c r="EZ1" s="106" t="s">
        <v>1775</v>
      </c>
      <c r="FA1" s="89" t="s">
        <v>1010</v>
      </c>
      <c r="FB1" s="90" t="s">
        <v>848</v>
      </c>
      <c r="FC1" s="7" t="s">
        <v>143</v>
      </c>
    </row>
    <row r="2" spans="1:159" s="26" customFormat="1" x14ac:dyDescent="0.25">
      <c r="A2" s="26">
        <v>1</v>
      </c>
      <c r="B2" s="26" t="s">
        <v>144</v>
      </c>
      <c r="C2" s="26" t="s">
        <v>145</v>
      </c>
      <c r="D2" s="26">
        <v>2000</v>
      </c>
      <c r="E2" s="26">
        <v>2000</v>
      </c>
      <c r="F2" s="26" t="s">
        <v>146</v>
      </c>
      <c r="G2" s="26" t="s">
        <v>147</v>
      </c>
      <c r="H2" s="26">
        <v>40.71</v>
      </c>
      <c r="I2" s="26">
        <v>-74.010000000000005</v>
      </c>
      <c r="J2" s="26">
        <v>3.5</v>
      </c>
      <c r="P2" s="52" t="s">
        <v>153</v>
      </c>
      <c r="Q2" s="52"/>
      <c r="R2" s="52"/>
      <c r="S2" s="26" t="s">
        <v>1640</v>
      </c>
      <c r="T2" s="26" t="s">
        <v>1640</v>
      </c>
      <c r="AC2" s="26" t="s">
        <v>1794</v>
      </c>
      <c r="AD2" s="153" t="str">
        <f>IF(OR(AC2="*Rye",AC2="Rye*",AC2="Downy_brome"),"Rye",IF(OR(AC2="*Oat",AC2="Oat*",AC2="Trudan_8",AC2="*Wheat",AC2="Wheat*",AC2="Barley*",AC2="Hemp",AC2="Hemp",AC2="Triticale*",AC2="Grass",AC2="Millet"),"Grass",IF(OR(AC2="*clover",AC2="clover*",AC2="Vetch*",AC2="Vetch*",AC2="Alfalfa",AC2="Soybean",AC2="*Lentil",AC2="Lentil*",AC2="*Pea",AC2="Pea*",AC2="Lupine"),"Legume",AC2)))</f>
        <v>White_clover</v>
      </c>
      <c r="AE2" s="26" t="s">
        <v>1628</v>
      </c>
      <c r="AP2" s="26" t="s">
        <v>154</v>
      </c>
      <c r="AW2" s="63"/>
      <c r="DP2" s="26">
        <v>6.6</v>
      </c>
      <c r="DQ2" s="26">
        <v>7</v>
      </c>
      <c r="DR2" s="26" t="s">
        <v>155</v>
      </c>
      <c r="DS2" s="12"/>
      <c r="DU2" s="15"/>
      <c r="FA2" s="26" t="s">
        <v>853</v>
      </c>
      <c r="FC2" s="26">
        <v>1</v>
      </c>
    </row>
    <row r="3" spans="1:159" s="26" customFormat="1" x14ac:dyDescent="0.25">
      <c r="A3" s="26">
        <v>1</v>
      </c>
      <c r="B3" s="26" t="s">
        <v>144</v>
      </c>
      <c r="C3" s="26" t="s">
        <v>145</v>
      </c>
      <c r="D3" s="26">
        <v>2000</v>
      </c>
      <c r="E3" s="26">
        <v>2000</v>
      </c>
      <c r="F3" s="26" t="s">
        <v>146</v>
      </c>
      <c r="G3" s="26" t="s">
        <v>147</v>
      </c>
      <c r="H3" s="26">
        <v>40.71</v>
      </c>
      <c r="I3" s="26">
        <v>-74.010000000000005</v>
      </c>
      <c r="J3" s="26">
        <v>3.5</v>
      </c>
      <c r="P3" s="52" t="s">
        <v>153</v>
      </c>
      <c r="Q3" s="52"/>
      <c r="R3" s="52"/>
      <c r="S3" s="26" t="s">
        <v>1640</v>
      </c>
      <c r="T3" s="26" t="s">
        <v>1640</v>
      </c>
      <c r="AC3" s="26" t="s">
        <v>301</v>
      </c>
      <c r="AD3" s="153" t="str">
        <f t="shared" ref="AD3:AD66" si="0">IF(OR(AC3="*Rye",AC3="Rye*",AC3="Downy_brome"),"Rye",IF(OR(AC3="*Oat",AC3="Oat*",AC3="Trudan_8",AC3="*Wheat",AC3="Wheat*",AC3="Barley*",AC3="Hemp",AC3="Hemp",AC3="Triticale*",AC3="Grass",AC3="Millet"),"Grass",IF(OR(AC3="*clover",AC3="clover*",AC3="Vetch*",AC3="Vetch*",AC3="Alfalfa",AC3="Soybean",AC3="*Lentil",AC3="Lentil*",AC3="*Pea",AC3="Pea*",AC3="Lupine"),"Legume",AC3)))</f>
        <v>Vetch</v>
      </c>
      <c r="AE3" s="26" t="s">
        <v>1628</v>
      </c>
      <c r="AP3" s="26" t="s">
        <v>154</v>
      </c>
      <c r="AW3" s="63"/>
      <c r="DP3" s="26">
        <v>6.6</v>
      </c>
      <c r="DQ3" s="26">
        <v>6</v>
      </c>
      <c r="DR3" s="26" t="s">
        <v>155</v>
      </c>
      <c r="DS3" s="12"/>
      <c r="DU3" s="15"/>
      <c r="FA3" s="26" t="s">
        <v>853</v>
      </c>
      <c r="FC3" s="26">
        <v>1</v>
      </c>
    </row>
    <row r="4" spans="1:159" s="26" customFormat="1" x14ac:dyDescent="0.25">
      <c r="A4" s="26">
        <v>1</v>
      </c>
      <c r="B4" s="26" t="s">
        <v>144</v>
      </c>
      <c r="C4" s="26" t="s">
        <v>145</v>
      </c>
      <c r="D4" s="26">
        <v>2000</v>
      </c>
      <c r="E4" s="26">
        <v>2000</v>
      </c>
      <c r="F4" s="26" t="s">
        <v>146</v>
      </c>
      <c r="G4" s="26" t="s">
        <v>147</v>
      </c>
      <c r="H4" s="26">
        <v>40.71</v>
      </c>
      <c r="I4" s="26">
        <v>-74.010000000000005</v>
      </c>
      <c r="J4" s="26">
        <v>3.5</v>
      </c>
      <c r="P4" s="52" t="s">
        <v>153</v>
      </c>
      <c r="Q4" s="52"/>
      <c r="R4" s="52"/>
      <c r="S4" s="26" t="s">
        <v>1640</v>
      </c>
      <c r="T4" s="26" t="s">
        <v>1640</v>
      </c>
      <c r="AC4" s="26" t="s">
        <v>1795</v>
      </c>
      <c r="AD4" s="153" t="str">
        <f t="shared" si="0"/>
        <v>White_mustard</v>
      </c>
      <c r="AE4" s="26" t="s">
        <v>1628</v>
      </c>
      <c r="AP4" s="26" t="s">
        <v>154</v>
      </c>
      <c r="AW4" s="63"/>
      <c r="BB4" s="26">
        <v>4862</v>
      </c>
      <c r="BC4" s="26">
        <f>3990</f>
        <v>3990</v>
      </c>
      <c r="DP4" s="26">
        <v>6.6</v>
      </c>
      <c r="DQ4" s="26">
        <v>5.9</v>
      </c>
      <c r="DR4" s="26" t="s">
        <v>155</v>
      </c>
      <c r="DS4" s="12"/>
      <c r="DU4" s="15"/>
      <c r="FA4" s="26" t="s">
        <v>853</v>
      </c>
      <c r="FC4" s="26">
        <v>1</v>
      </c>
    </row>
    <row r="5" spans="1:159" s="26" customFormat="1" x14ac:dyDescent="0.25">
      <c r="A5" s="26">
        <v>1</v>
      </c>
      <c r="B5" s="26" t="s">
        <v>144</v>
      </c>
      <c r="C5" s="26" t="s">
        <v>145</v>
      </c>
      <c r="D5" s="26">
        <v>2000</v>
      </c>
      <c r="E5" s="26">
        <v>2000</v>
      </c>
      <c r="F5" s="26" t="s">
        <v>146</v>
      </c>
      <c r="G5" s="26" t="s">
        <v>147</v>
      </c>
      <c r="H5" s="26">
        <v>40.71</v>
      </c>
      <c r="I5" s="26">
        <v>-74.010000000000005</v>
      </c>
      <c r="J5" s="26">
        <v>3.5</v>
      </c>
      <c r="P5" s="52" t="s">
        <v>153</v>
      </c>
      <c r="Q5" s="52"/>
      <c r="R5" s="52"/>
      <c r="S5" s="26" t="s">
        <v>1640</v>
      </c>
      <c r="T5" s="26" t="s">
        <v>1640</v>
      </c>
      <c r="AC5" s="26" t="s">
        <v>148</v>
      </c>
      <c r="AD5" s="153" t="str">
        <f t="shared" si="0"/>
        <v>Legume</v>
      </c>
      <c r="AE5" s="26" t="s">
        <v>1628</v>
      </c>
      <c r="AP5" s="26" t="s">
        <v>154</v>
      </c>
      <c r="AW5" s="63"/>
      <c r="DP5" s="26">
        <v>6.6</v>
      </c>
      <c r="DQ5" s="26">
        <v>5.7</v>
      </c>
      <c r="DR5" s="26" t="s">
        <v>155</v>
      </c>
      <c r="DS5" s="12"/>
      <c r="DU5" s="15"/>
      <c r="FA5" s="26" t="s">
        <v>853</v>
      </c>
      <c r="FC5" s="26">
        <v>1</v>
      </c>
    </row>
    <row r="6" spans="1:159" s="26" customFormat="1" x14ac:dyDescent="0.25">
      <c r="A6" s="26">
        <v>1</v>
      </c>
      <c r="B6" s="26" t="s">
        <v>144</v>
      </c>
      <c r="C6" s="26" t="s">
        <v>145</v>
      </c>
      <c r="D6" s="26">
        <v>2000</v>
      </c>
      <c r="E6" s="26">
        <v>2000</v>
      </c>
      <c r="F6" s="26" t="s">
        <v>146</v>
      </c>
      <c r="G6" s="26" t="s">
        <v>147</v>
      </c>
      <c r="H6" s="26">
        <v>40.71</v>
      </c>
      <c r="I6" s="26">
        <v>-74.010000000000005</v>
      </c>
      <c r="J6" s="26">
        <v>3.5</v>
      </c>
      <c r="P6" s="52" t="s">
        <v>153</v>
      </c>
      <c r="Q6" s="52"/>
      <c r="R6" s="52"/>
      <c r="S6" s="26" t="s">
        <v>1640</v>
      </c>
      <c r="T6" s="26" t="s">
        <v>1640</v>
      </c>
      <c r="AC6" s="26" t="s">
        <v>149</v>
      </c>
      <c r="AD6" s="153" t="str">
        <f t="shared" si="0"/>
        <v>Ryegrass</v>
      </c>
      <c r="AE6" s="26" t="s">
        <v>1628</v>
      </c>
      <c r="AP6" s="26" t="s">
        <v>154</v>
      </c>
      <c r="AW6" s="63"/>
      <c r="DP6" s="26">
        <v>6.6</v>
      </c>
      <c r="DQ6" s="26">
        <v>5.6</v>
      </c>
      <c r="DR6" s="26" t="s">
        <v>155</v>
      </c>
      <c r="DS6" s="12"/>
      <c r="DU6" s="15"/>
      <c r="FA6" s="26" t="s">
        <v>853</v>
      </c>
      <c r="FC6" s="26">
        <v>1</v>
      </c>
    </row>
    <row r="7" spans="1:159" s="26" customFormat="1" x14ac:dyDescent="0.25">
      <c r="A7" s="26">
        <v>1</v>
      </c>
      <c r="B7" s="26" t="s">
        <v>144</v>
      </c>
      <c r="C7" s="26" t="s">
        <v>145</v>
      </c>
      <c r="D7" s="26">
        <v>2000</v>
      </c>
      <c r="E7" s="26">
        <v>2000</v>
      </c>
      <c r="F7" s="26" t="s">
        <v>146</v>
      </c>
      <c r="G7" s="26" t="s">
        <v>147</v>
      </c>
      <c r="H7" s="26">
        <v>40.71</v>
      </c>
      <c r="I7" s="26">
        <v>-74.010000000000005</v>
      </c>
      <c r="J7" s="26">
        <v>3.5</v>
      </c>
      <c r="P7" s="52" t="s">
        <v>153</v>
      </c>
      <c r="Q7" s="52"/>
      <c r="R7" s="52"/>
      <c r="S7" s="26" t="s">
        <v>1640</v>
      </c>
      <c r="T7" s="26" t="s">
        <v>1640</v>
      </c>
      <c r="AC7" s="26" t="s">
        <v>638</v>
      </c>
      <c r="AD7" s="153" t="str">
        <f t="shared" si="0"/>
        <v>Oat</v>
      </c>
      <c r="AE7" s="26" t="s">
        <v>1628</v>
      </c>
      <c r="AP7" s="26" t="s">
        <v>154</v>
      </c>
      <c r="AW7" s="63"/>
      <c r="DP7" s="26">
        <v>6.6</v>
      </c>
      <c r="DQ7" s="26">
        <v>5.2</v>
      </c>
      <c r="DR7" s="26" t="s">
        <v>155</v>
      </c>
      <c r="DS7" s="12"/>
      <c r="DU7" s="15"/>
      <c r="FA7" s="26" t="s">
        <v>853</v>
      </c>
      <c r="FC7" s="26">
        <v>1</v>
      </c>
    </row>
    <row r="8" spans="1:159" s="26" customFormat="1" x14ac:dyDescent="0.25">
      <c r="A8" s="26">
        <v>1</v>
      </c>
      <c r="B8" s="26" t="s">
        <v>144</v>
      </c>
      <c r="C8" s="26" t="s">
        <v>145</v>
      </c>
      <c r="D8" s="26">
        <v>2000</v>
      </c>
      <c r="E8" s="26">
        <v>2000</v>
      </c>
      <c r="F8" s="26" t="s">
        <v>146</v>
      </c>
      <c r="G8" s="26" t="s">
        <v>147</v>
      </c>
      <c r="H8" s="26">
        <v>40.71</v>
      </c>
      <c r="I8" s="26">
        <v>-74.010000000000005</v>
      </c>
      <c r="J8" s="26">
        <v>3.5</v>
      </c>
      <c r="P8" s="52" t="s">
        <v>153</v>
      </c>
      <c r="Q8" s="52"/>
      <c r="R8" s="52"/>
      <c r="S8" s="26" t="s">
        <v>1640</v>
      </c>
      <c r="T8" s="26" t="s">
        <v>1640</v>
      </c>
      <c r="AC8" s="26" t="s">
        <v>1796</v>
      </c>
      <c r="AD8" s="153" t="str">
        <f t="shared" si="0"/>
        <v>Grass</v>
      </c>
      <c r="AE8" s="26" t="s">
        <v>1628</v>
      </c>
      <c r="AP8" s="26" t="s">
        <v>154</v>
      </c>
      <c r="AW8" s="63"/>
      <c r="DP8" s="26">
        <v>6.6</v>
      </c>
      <c r="DQ8" s="26">
        <v>4.9000000000000004</v>
      </c>
      <c r="DR8" s="26" t="s">
        <v>155</v>
      </c>
      <c r="DS8" s="12"/>
      <c r="DU8" s="15"/>
      <c r="FA8" s="26" t="s">
        <v>853</v>
      </c>
      <c r="FC8" s="26">
        <v>1</v>
      </c>
    </row>
    <row r="9" spans="1:159" s="26" customFormat="1" x14ac:dyDescent="0.25">
      <c r="A9" s="26">
        <v>1</v>
      </c>
      <c r="B9" s="26" t="s">
        <v>144</v>
      </c>
      <c r="C9" s="26" t="s">
        <v>145</v>
      </c>
      <c r="D9" s="26">
        <v>2000</v>
      </c>
      <c r="E9" s="26">
        <v>2000</v>
      </c>
      <c r="F9" s="26" t="s">
        <v>146</v>
      </c>
      <c r="G9" s="26" t="s">
        <v>147</v>
      </c>
      <c r="H9" s="26">
        <v>40.71</v>
      </c>
      <c r="I9" s="26">
        <v>-74.010000000000005</v>
      </c>
      <c r="J9" s="26">
        <v>3.5</v>
      </c>
      <c r="P9" s="52" t="s">
        <v>153</v>
      </c>
      <c r="Q9" s="52"/>
      <c r="R9" s="52"/>
      <c r="S9" s="26" t="s">
        <v>1640</v>
      </c>
      <c r="T9" s="26" t="s">
        <v>1640</v>
      </c>
      <c r="AC9" s="26" t="s">
        <v>1797</v>
      </c>
      <c r="AD9" s="153" t="str">
        <f t="shared" si="0"/>
        <v>Rye_grain</v>
      </c>
      <c r="AE9" s="26" t="s">
        <v>1628</v>
      </c>
      <c r="AP9" s="26" t="s">
        <v>154</v>
      </c>
      <c r="AW9" s="63"/>
      <c r="BB9" s="26">
        <v>4862</v>
      </c>
      <c r="BC9" s="26">
        <v>5240</v>
      </c>
      <c r="DP9" s="26">
        <v>6.6</v>
      </c>
      <c r="DQ9" s="26">
        <v>4.7</v>
      </c>
      <c r="DR9" s="26" t="s">
        <v>155</v>
      </c>
      <c r="DS9" s="12"/>
      <c r="DU9" s="15"/>
      <c r="FA9" s="26" t="s">
        <v>853</v>
      </c>
      <c r="FC9" s="26">
        <v>1</v>
      </c>
    </row>
    <row r="10" spans="1:159" s="26" customFormat="1" x14ac:dyDescent="0.25">
      <c r="A10" s="26">
        <v>1</v>
      </c>
      <c r="B10" s="26" t="s">
        <v>144</v>
      </c>
      <c r="C10" s="26" t="s">
        <v>145</v>
      </c>
      <c r="D10" s="26">
        <v>2000</v>
      </c>
      <c r="E10" s="26">
        <v>2000</v>
      </c>
      <c r="F10" s="26" t="s">
        <v>146</v>
      </c>
      <c r="G10" s="26" t="s">
        <v>147</v>
      </c>
      <c r="H10" s="26">
        <v>40.71</v>
      </c>
      <c r="I10" s="26">
        <v>-74.010000000000005</v>
      </c>
      <c r="J10" s="26">
        <v>3.5</v>
      </c>
      <c r="P10" s="52" t="s">
        <v>153</v>
      </c>
      <c r="Q10" s="52"/>
      <c r="R10" s="52"/>
      <c r="S10" s="26" t="s">
        <v>1640</v>
      </c>
      <c r="T10" s="26" t="s">
        <v>1640</v>
      </c>
      <c r="AC10" s="26" t="s">
        <v>150</v>
      </c>
      <c r="AD10" s="153" t="str">
        <f t="shared" si="0"/>
        <v>Wheat</v>
      </c>
      <c r="AE10" s="26" t="s">
        <v>1628</v>
      </c>
      <c r="AP10" s="26" t="s">
        <v>154</v>
      </c>
      <c r="AW10" s="63"/>
      <c r="DP10" s="26">
        <v>6.6</v>
      </c>
      <c r="DQ10" s="26">
        <v>4.5999999999999996</v>
      </c>
      <c r="DR10" s="26" t="s">
        <v>155</v>
      </c>
      <c r="DS10" s="12"/>
      <c r="DU10" s="15"/>
      <c r="FA10" s="26" t="s">
        <v>853</v>
      </c>
      <c r="FC10" s="26">
        <v>1</v>
      </c>
    </row>
    <row r="11" spans="1:159" s="26" customFormat="1" x14ac:dyDescent="0.25">
      <c r="A11" s="26">
        <v>1</v>
      </c>
      <c r="B11" s="26" t="s">
        <v>144</v>
      </c>
      <c r="C11" s="26" t="s">
        <v>145</v>
      </c>
      <c r="D11" s="26">
        <v>2000</v>
      </c>
      <c r="E11" s="26">
        <v>2000</v>
      </c>
      <c r="F11" s="26" t="s">
        <v>146</v>
      </c>
      <c r="G11" s="26" t="s">
        <v>147</v>
      </c>
      <c r="H11" s="26">
        <v>40.71</v>
      </c>
      <c r="I11" s="26">
        <v>-74.010000000000005</v>
      </c>
      <c r="J11" s="26">
        <v>3.5</v>
      </c>
      <c r="P11" s="52" t="s">
        <v>153</v>
      </c>
      <c r="Q11" s="52"/>
      <c r="R11" s="52"/>
      <c r="S11" s="26" t="s">
        <v>1640</v>
      </c>
      <c r="T11" s="26" t="s">
        <v>1640</v>
      </c>
      <c r="AC11" s="26" t="s">
        <v>1798</v>
      </c>
      <c r="AD11" s="153" t="str">
        <f t="shared" si="0"/>
        <v>Crown_Vetch</v>
      </c>
      <c r="AE11" s="26" t="s">
        <v>1628</v>
      </c>
      <c r="AP11" s="26" t="s">
        <v>154</v>
      </c>
      <c r="AW11" s="63"/>
      <c r="DP11" s="26">
        <v>6.6</v>
      </c>
      <c r="DQ11" s="26">
        <v>4.3</v>
      </c>
      <c r="DR11" s="26" t="s">
        <v>155</v>
      </c>
      <c r="DS11" s="12"/>
      <c r="DU11" s="15"/>
      <c r="FA11" s="26" t="s">
        <v>853</v>
      </c>
      <c r="FC11" s="26">
        <v>1</v>
      </c>
    </row>
    <row r="12" spans="1:159" s="26" customFormat="1" x14ac:dyDescent="0.25">
      <c r="A12" s="26">
        <v>1</v>
      </c>
      <c r="B12" s="26" t="s">
        <v>144</v>
      </c>
      <c r="C12" s="26" t="s">
        <v>145</v>
      </c>
      <c r="D12" s="26">
        <v>2000</v>
      </c>
      <c r="E12" s="26">
        <v>2000</v>
      </c>
      <c r="F12" s="26" t="s">
        <v>146</v>
      </c>
      <c r="G12" s="26" t="s">
        <v>147</v>
      </c>
      <c r="H12" s="26">
        <v>40.71</v>
      </c>
      <c r="I12" s="26">
        <v>-74.010000000000005</v>
      </c>
      <c r="J12" s="26">
        <v>3.5</v>
      </c>
      <c r="P12" s="52" t="s">
        <v>153</v>
      </c>
      <c r="Q12" s="52"/>
      <c r="R12" s="52"/>
      <c r="S12" s="26" t="s">
        <v>1640</v>
      </c>
      <c r="T12" s="26" t="s">
        <v>1640</v>
      </c>
      <c r="AC12" s="26" t="s">
        <v>151</v>
      </c>
      <c r="AD12" s="153" t="str">
        <f t="shared" si="0"/>
        <v>Rapeseed</v>
      </c>
      <c r="AE12" s="26" t="s">
        <v>1628</v>
      </c>
      <c r="AP12" s="26" t="s">
        <v>154</v>
      </c>
      <c r="AW12" s="63"/>
      <c r="DP12" s="26">
        <v>6.6</v>
      </c>
      <c r="DQ12" s="26">
        <v>3.9</v>
      </c>
      <c r="DR12" s="26" t="s">
        <v>155</v>
      </c>
      <c r="DS12" s="12"/>
      <c r="DU12" s="15"/>
      <c r="FA12" s="26" t="s">
        <v>853</v>
      </c>
      <c r="FC12" s="26">
        <v>1</v>
      </c>
    </row>
    <row r="13" spans="1:159" s="23" customFormat="1" x14ac:dyDescent="0.25">
      <c r="A13" s="23">
        <v>2</v>
      </c>
      <c r="B13" s="23" t="s">
        <v>160</v>
      </c>
      <c r="C13" s="23" t="s">
        <v>161</v>
      </c>
      <c r="D13" s="23">
        <v>1999</v>
      </c>
      <c r="E13" s="23">
        <v>1994</v>
      </c>
      <c r="F13" s="23" t="s">
        <v>162</v>
      </c>
      <c r="G13" s="23" t="s">
        <v>163</v>
      </c>
      <c r="H13" s="23">
        <v>45.231000000000002</v>
      </c>
      <c r="I13" s="23">
        <v>-122.756</v>
      </c>
      <c r="J13" s="23">
        <v>48.4</v>
      </c>
      <c r="N13" s="23">
        <v>1040</v>
      </c>
      <c r="O13" s="23" t="s">
        <v>169</v>
      </c>
      <c r="P13" s="53" t="s">
        <v>200</v>
      </c>
      <c r="Q13" s="53"/>
      <c r="R13" s="53" t="s">
        <v>201</v>
      </c>
      <c r="S13" s="53" t="s">
        <v>1644</v>
      </c>
      <c r="T13" s="53" t="s">
        <v>1644</v>
      </c>
      <c r="V13" s="23">
        <v>31.3</v>
      </c>
      <c r="W13" s="23">
        <v>54</v>
      </c>
      <c r="X13" s="23" t="s">
        <v>168</v>
      </c>
      <c r="AB13" s="23" t="s">
        <v>1543</v>
      </c>
      <c r="AC13" s="23" t="s">
        <v>166</v>
      </c>
      <c r="AD13" s="153" t="str">
        <f t="shared" si="0"/>
        <v>Rye</v>
      </c>
      <c r="AE13" s="23" t="s">
        <v>167</v>
      </c>
      <c r="AG13" s="23" t="s">
        <v>165</v>
      </c>
      <c r="AH13" s="23" t="s">
        <v>165</v>
      </c>
      <c r="AI13" s="23" t="s">
        <v>230</v>
      </c>
      <c r="AM13" s="23" t="s">
        <v>742</v>
      </c>
      <c r="AN13" s="23" t="s">
        <v>742</v>
      </c>
      <c r="AP13" s="23" t="s">
        <v>154</v>
      </c>
      <c r="AQ13" s="23">
        <v>2</v>
      </c>
      <c r="AR13" s="23">
        <v>2</v>
      </c>
      <c r="AS13" s="23" t="s">
        <v>177</v>
      </c>
      <c r="AW13" s="64"/>
      <c r="BH13" s="23">
        <v>3.93</v>
      </c>
      <c r="BI13" s="23">
        <v>3.43</v>
      </c>
      <c r="BJ13" s="23" t="s">
        <v>198</v>
      </c>
      <c r="BK13" s="23">
        <v>971</v>
      </c>
      <c r="BL13" s="23">
        <v>947</v>
      </c>
      <c r="BM13" s="23" t="s">
        <v>292</v>
      </c>
      <c r="BT13" s="23">
        <v>5.75</v>
      </c>
      <c r="BU13" s="23">
        <v>5.83</v>
      </c>
      <c r="BW13" s="23">
        <v>15.6</v>
      </c>
      <c r="BX13" s="23">
        <v>15.2</v>
      </c>
      <c r="DS13" s="12"/>
      <c r="DU13" s="15"/>
      <c r="EQ13" s="23">
        <v>140</v>
      </c>
      <c r="ER13" s="23">
        <v>177</v>
      </c>
      <c r="FC13" s="23">
        <v>2</v>
      </c>
    </row>
    <row r="14" spans="1:159" s="23" customFormat="1" x14ac:dyDescent="0.25">
      <c r="A14" s="23">
        <v>2</v>
      </c>
      <c r="B14" s="23" t="s">
        <v>160</v>
      </c>
      <c r="C14" s="23" t="s">
        <v>161</v>
      </c>
      <c r="D14" s="23">
        <v>1999</v>
      </c>
      <c r="E14" s="23">
        <v>1994</v>
      </c>
      <c r="F14" s="23" t="s">
        <v>162</v>
      </c>
      <c r="G14" s="23" t="s">
        <v>163</v>
      </c>
      <c r="H14" s="23">
        <v>45.231000000000002</v>
      </c>
      <c r="I14" s="23">
        <v>-122.756</v>
      </c>
      <c r="J14" s="23">
        <v>48.4</v>
      </c>
      <c r="N14" s="23">
        <v>1040</v>
      </c>
      <c r="O14" s="23" t="s">
        <v>169</v>
      </c>
      <c r="P14" s="53" t="s">
        <v>200</v>
      </c>
      <c r="Q14" s="53"/>
      <c r="R14" s="53" t="s">
        <v>201</v>
      </c>
      <c r="S14" s="53" t="s">
        <v>1644</v>
      </c>
      <c r="T14" s="53" t="s">
        <v>1644</v>
      </c>
      <c r="V14" s="23">
        <v>31.3</v>
      </c>
      <c r="W14" s="23">
        <v>54</v>
      </c>
      <c r="X14" s="23" t="s">
        <v>168</v>
      </c>
      <c r="AB14" s="23" t="s">
        <v>1543</v>
      </c>
      <c r="AC14" s="23" t="s">
        <v>1799</v>
      </c>
      <c r="AD14" s="153" t="str">
        <f t="shared" si="0"/>
        <v>Red_clover</v>
      </c>
      <c r="AE14" s="23" t="s">
        <v>167</v>
      </c>
      <c r="AG14" s="23" t="s">
        <v>165</v>
      </c>
      <c r="AH14" s="23" t="s">
        <v>165</v>
      </c>
      <c r="AI14" s="23" t="s">
        <v>230</v>
      </c>
      <c r="AM14" s="23" t="s">
        <v>742</v>
      </c>
      <c r="AN14" s="23" t="s">
        <v>742</v>
      </c>
      <c r="AP14" s="23" t="s">
        <v>154</v>
      </c>
      <c r="AQ14" s="23">
        <v>2</v>
      </c>
      <c r="AR14" s="23">
        <v>2</v>
      </c>
      <c r="AS14" s="23" t="s">
        <v>177</v>
      </c>
      <c r="AW14" s="64"/>
      <c r="BH14" s="23">
        <v>3.93</v>
      </c>
      <c r="BI14" s="23">
        <v>4.13</v>
      </c>
      <c r="BJ14" s="23" t="s">
        <v>198</v>
      </c>
      <c r="BK14" s="23">
        <v>971</v>
      </c>
      <c r="BL14" s="23">
        <v>1120</v>
      </c>
      <c r="BM14" s="23" t="s">
        <v>292</v>
      </c>
      <c r="BT14" s="23">
        <v>5.75</v>
      </c>
      <c r="BU14" s="23">
        <v>5.9</v>
      </c>
      <c r="BW14" s="23">
        <v>15.6</v>
      </c>
      <c r="BX14" s="23">
        <v>15</v>
      </c>
      <c r="DS14" s="12"/>
      <c r="DU14" s="15"/>
      <c r="EQ14" s="23">
        <v>140</v>
      </c>
      <c r="ER14" s="23">
        <v>158</v>
      </c>
      <c r="FC14" s="23">
        <v>2</v>
      </c>
    </row>
    <row r="15" spans="1:159" s="35" customFormat="1" x14ac:dyDescent="0.25">
      <c r="A15" s="35">
        <v>3</v>
      </c>
      <c r="B15" s="35" t="s">
        <v>171</v>
      </c>
      <c r="C15" s="35" t="s">
        <v>172</v>
      </c>
      <c r="D15" s="35">
        <v>2008</v>
      </c>
      <c r="E15" s="35">
        <v>2003</v>
      </c>
      <c r="F15" s="35" t="s">
        <v>173</v>
      </c>
      <c r="G15" s="35" t="s">
        <v>174</v>
      </c>
      <c r="H15" s="35">
        <v>49.69</v>
      </c>
      <c r="I15" s="35">
        <v>-112.84</v>
      </c>
      <c r="J15" s="35">
        <v>901</v>
      </c>
      <c r="P15" s="54" t="s">
        <v>179</v>
      </c>
      <c r="Q15" s="54"/>
      <c r="R15" s="54"/>
      <c r="S15" s="54" t="s">
        <v>1640</v>
      </c>
      <c r="T15" s="54" t="s">
        <v>1640</v>
      </c>
      <c r="V15" s="35">
        <v>37</v>
      </c>
      <c r="W15" s="35">
        <v>30</v>
      </c>
      <c r="X15" s="35" t="s">
        <v>175</v>
      </c>
      <c r="AB15" s="35" t="s">
        <v>1545</v>
      </c>
      <c r="AC15" s="35" t="s">
        <v>1845</v>
      </c>
      <c r="AD15" s="153" t="str">
        <f t="shared" si="0"/>
        <v>Rye_Fall_seeded_winter</v>
      </c>
      <c r="AE15" s="35" t="s">
        <v>1629</v>
      </c>
      <c r="AP15" s="35" t="s">
        <v>154</v>
      </c>
      <c r="AQ15" s="35">
        <v>4</v>
      </c>
      <c r="AR15" s="35">
        <v>4</v>
      </c>
      <c r="AS15" s="35" t="s">
        <v>177</v>
      </c>
      <c r="AT15" s="35">
        <v>5520</v>
      </c>
      <c r="AW15" s="63"/>
      <c r="AX15" s="35" t="s">
        <v>185</v>
      </c>
      <c r="BB15" s="35">
        <v>16400</v>
      </c>
      <c r="BC15" s="35">
        <v>23300</v>
      </c>
      <c r="DM15" s="35">
        <v>17250</v>
      </c>
      <c r="DN15" s="35">
        <v>7310</v>
      </c>
      <c r="DS15" s="12"/>
      <c r="DU15" s="15"/>
      <c r="FC15" s="35">
        <v>3</v>
      </c>
    </row>
    <row r="16" spans="1:159" s="35" customFormat="1" x14ac:dyDescent="0.25">
      <c r="A16" s="35">
        <v>3</v>
      </c>
      <c r="B16" s="35" t="s">
        <v>171</v>
      </c>
      <c r="C16" s="35" t="s">
        <v>172</v>
      </c>
      <c r="D16" s="35">
        <v>2008</v>
      </c>
      <c r="E16" s="35">
        <v>2003</v>
      </c>
      <c r="F16" s="35" t="s">
        <v>173</v>
      </c>
      <c r="G16" s="35" t="s">
        <v>174</v>
      </c>
      <c r="H16" s="35">
        <v>49.69</v>
      </c>
      <c r="I16" s="35">
        <v>-112.84</v>
      </c>
      <c r="J16" s="35">
        <v>901</v>
      </c>
      <c r="P16" s="54" t="s">
        <v>179</v>
      </c>
      <c r="Q16" s="54"/>
      <c r="R16" s="54"/>
      <c r="S16" s="54" t="s">
        <v>1640</v>
      </c>
      <c r="T16" s="54" t="s">
        <v>1640</v>
      </c>
      <c r="V16" s="35">
        <v>37</v>
      </c>
      <c r="W16" s="35">
        <v>30</v>
      </c>
      <c r="X16" s="35" t="s">
        <v>175</v>
      </c>
      <c r="AB16" s="35" t="s">
        <v>1545</v>
      </c>
      <c r="AC16" s="35" t="s">
        <v>1854</v>
      </c>
      <c r="AD16" s="153" t="str">
        <f t="shared" si="0"/>
        <v>Barley_Fall_seeded</v>
      </c>
      <c r="AE16" s="35" t="s">
        <v>1629</v>
      </c>
      <c r="AP16" s="35" t="s">
        <v>154</v>
      </c>
      <c r="AQ16" s="35">
        <v>4</v>
      </c>
      <c r="AR16" s="35">
        <v>4</v>
      </c>
      <c r="AS16" s="35" t="s">
        <v>177</v>
      </c>
      <c r="AT16" s="35">
        <v>1320</v>
      </c>
      <c r="AW16" s="63"/>
      <c r="AX16" s="35" t="s">
        <v>185</v>
      </c>
      <c r="BB16" s="35">
        <v>16400</v>
      </c>
      <c r="BC16" s="35">
        <v>19800</v>
      </c>
      <c r="DM16" s="35">
        <v>17250</v>
      </c>
      <c r="DN16" s="35">
        <v>12510</v>
      </c>
      <c r="DS16" s="12"/>
      <c r="DU16" s="15"/>
      <c r="FC16" s="35">
        <v>3</v>
      </c>
    </row>
    <row r="17" spans="1:159" s="35" customFormat="1" x14ac:dyDescent="0.25">
      <c r="A17" s="35">
        <v>3</v>
      </c>
      <c r="B17" s="35" t="s">
        <v>171</v>
      </c>
      <c r="C17" s="35" t="s">
        <v>172</v>
      </c>
      <c r="D17" s="35">
        <v>2008</v>
      </c>
      <c r="E17" s="35">
        <v>2003</v>
      </c>
      <c r="F17" s="35" t="s">
        <v>173</v>
      </c>
      <c r="G17" s="35" t="s">
        <v>174</v>
      </c>
      <c r="H17" s="35">
        <v>49.69</v>
      </c>
      <c r="I17" s="35">
        <v>-112.84</v>
      </c>
      <c r="J17" s="35">
        <v>901</v>
      </c>
      <c r="P17" s="54" t="s">
        <v>179</v>
      </c>
      <c r="Q17" s="54"/>
      <c r="R17" s="54"/>
      <c r="S17" s="54" t="s">
        <v>1640</v>
      </c>
      <c r="T17" s="54" t="s">
        <v>1640</v>
      </c>
      <c r="V17" s="35">
        <v>37</v>
      </c>
      <c r="W17" s="35">
        <v>30</v>
      </c>
      <c r="X17" s="35" t="s">
        <v>175</v>
      </c>
      <c r="AB17" s="35" t="s">
        <v>1545</v>
      </c>
      <c r="AC17" s="35" t="s">
        <v>1855</v>
      </c>
      <c r="AD17" s="153" t="str">
        <f t="shared" si="0"/>
        <v>Oat_Fall_seeded</v>
      </c>
      <c r="AE17" s="35" t="s">
        <v>1629</v>
      </c>
      <c r="AP17" s="35" t="s">
        <v>154</v>
      </c>
      <c r="AQ17" s="35">
        <v>4</v>
      </c>
      <c r="AR17" s="35">
        <v>4</v>
      </c>
      <c r="AS17" s="35" t="s">
        <v>177</v>
      </c>
      <c r="AT17" s="35">
        <v>1170</v>
      </c>
      <c r="AW17" s="63"/>
      <c r="AX17" s="35" t="s">
        <v>185</v>
      </c>
      <c r="BB17" s="35">
        <v>16400</v>
      </c>
      <c r="BC17" s="35">
        <v>19600</v>
      </c>
      <c r="DM17" s="35">
        <v>17250</v>
      </c>
      <c r="DN17" s="35">
        <v>12180</v>
      </c>
      <c r="DS17" s="12"/>
      <c r="DU17" s="15"/>
      <c r="FC17" s="35">
        <v>3</v>
      </c>
    </row>
    <row r="18" spans="1:159" s="35" customFormat="1" x14ac:dyDescent="0.25">
      <c r="A18" s="35">
        <v>3</v>
      </c>
      <c r="B18" s="35" t="s">
        <v>171</v>
      </c>
      <c r="C18" s="35" t="s">
        <v>172</v>
      </c>
      <c r="D18" s="35">
        <v>2008</v>
      </c>
      <c r="E18" s="35">
        <v>2003</v>
      </c>
      <c r="F18" s="35" t="s">
        <v>173</v>
      </c>
      <c r="G18" s="35" t="s">
        <v>174</v>
      </c>
      <c r="H18" s="35">
        <v>49.69</v>
      </c>
      <c r="I18" s="35">
        <v>-112.84</v>
      </c>
      <c r="J18" s="35">
        <v>901</v>
      </c>
      <c r="P18" s="54" t="s">
        <v>179</v>
      </c>
      <c r="Q18" s="54"/>
      <c r="R18" s="54"/>
      <c r="S18" s="54" t="s">
        <v>1640</v>
      </c>
      <c r="T18" s="54" t="s">
        <v>1640</v>
      </c>
      <c r="V18" s="35">
        <v>37</v>
      </c>
      <c r="W18" s="35">
        <v>30</v>
      </c>
      <c r="X18" s="35" t="s">
        <v>175</v>
      </c>
      <c r="AB18" s="35" t="s">
        <v>1545</v>
      </c>
      <c r="AC18" s="35" t="s">
        <v>1846</v>
      </c>
      <c r="AD18" s="153" t="str">
        <f t="shared" si="0"/>
        <v>Rye_Fall_seeded_spring</v>
      </c>
      <c r="AE18" s="35" t="s">
        <v>1629</v>
      </c>
      <c r="AP18" s="35" t="s">
        <v>154</v>
      </c>
      <c r="AQ18" s="35">
        <v>4</v>
      </c>
      <c r="AR18" s="35">
        <v>4</v>
      </c>
      <c r="AS18" s="35" t="s">
        <v>177</v>
      </c>
      <c r="AT18" s="35">
        <v>1480</v>
      </c>
      <c r="AW18" s="63"/>
      <c r="AX18" s="35" t="s">
        <v>185</v>
      </c>
      <c r="BB18" s="35">
        <v>16400</v>
      </c>
      <c r="BC18" s="35">
        <v>21400</v>
      </c>
      <c r="DM18" s="35">
        <v>17250</v>
      </c>
      <c r="DN18" s="35">
        <v>11460</v>
      </c>
      <c r="DS18" s="12"/>
      <c r="DU18" s="15"/>
      <c r="FC18" s="35">
        <v>3</v>
      </c>
    </row>
    <row r="19" spans="1:159" s="35" customFormat="1" x14ac:dyDescent="0.25">
      <c r="A19" s="35">
        <v>3</v>
      </c>
      <c r="B19" s="35" t="s">
        <v>171</v>
      </c>
      <c r="C19" s="35" t="s">
        <v>172</v>
      </c>
      <c r="D19" s="35">
        <v>2008</v>
      </c>
      <c r="E19" s="35">
        <v>2003</v>
      </c>
      <c r="F19" s="35" t="s">
        <v>173</v>
      </c>
      <c r="G19" s="35" t="s">
        <v>174</v>
      </c>
      <c r="H19" s="35">
        <v>49.69</v>
      </c>
      <c r="I19" s="35">
        <v>-112.84</v>
      </c>
      <c r="J19" s="35">
        <v>901</v>
      </c>
      <c r="P19" s="54" t="s">
        <v>179</v>
      </c>
      <c r="Q19" s="54"/>
      <c r="R19" s="54"/>
      <c r="S19" s="54" t="s">
        <v>1640</v>
      </c>
      <c r="T19" s="54" t="s">
        <v>1640</v>
      </c>
      <c r="V19" s="35">
        <v>37</v>
      </c>
      <c r="W19" s="35">
        <v>30</v>
      </c>
      <c r="X19" s="35" t="s">
        <v>175</v>
      </c>
      <c r="AB19" s="35" t="s">
        <v>1545</v>
      </c>
      <c r="AC19" s="35" t="s">
        <v>1850</v>
      </c>
      <c r="AD19" s="153" t="str">
        <f t="shared" si="0"/>
        <v>Barley_Spring_seeded</v>
      </c>
      <c r="AE19" s="35" t="s">
        <v>1629</v>
      </c>
      <c r="AP19" s="35" t="s">
        <v>154</v>
      </c>
      <c r="AQ19" s="35">
        <v>4</v>
      </c>
      <c r="AR19" s="35">
        <v>4</v>
      </c>
      <c r="AS19" s="35" t="s">
        <v>177</v>
      </c>
      <c r="AT19" s="35">
        <v>690</v>
      </c>
      <c r="AW19" s="63"/>
      <c r="AX19" s="35" t="s">
        <v>185</v>
      </c>
      <c r="BB19" s="35">
        <v>16400</v>
      </c>
      <c r="BC19" s="35">
        <v>18000</v>
      </c>
      <c r="DM19" s="35">
        <v>17250</v>
      </c>
      <c r="DN19" s="35">
        <v>15440</v>
      </c>
      <c r="DS19" s="12"/>
      <c r="DU19" s="15"/>
      <c r="FC19" s="35">
        <v>3</v>
      </c>
    </row>
    <row r="20" spans="1:159" s="35" customFormat="1" x14ac:dyDescent="0.25">
      <c r="A20" s="35">
        <v>3</v>
      </c>
      <c r="B20" s="35" t="s">
        <v>171</v>
      </c>
      <c r="C20" s="35" t="s">
        <v>172</v>
      </c>
      <c r="D20" s="35">
        <v>2008</v>
      </c>
      <c r="E20" s="35">
        <v>2003</v>
      </c>
      <c r="F20" s="35" t="s">
        <v>173</v>
      </c>
      <c r="G20" s="35" t="s">
        <v>174</v>
      </c>
      <c r="H20" s="35">
        <v>49.69</v>
      </c>
      <c r="I20" s="35">
        <v>-112.84</v>
      </c>
      <c r="J20" s="35">
        <v>901</v>
      </c>
      <c r="P20" s="54" t="s">
        <v>179</v>
      </c>
      <c r="Q20" s="54"/>
      <c r="R20" s="54"/>
      <c r="S20" s="54" t="s">
        <v>1640</v>
      </c>
      <c r="T20" s="54" t="s">
        <v>1640</v>
      </c>
      <c r="V20" s="35">
        <v>37</v>
      </c>
      <c r="W20" s="35">
        <v>30</v>
      </c>
      <c r="X20" s="35" t="s">
        <v>175</v>
      </c>
      <c r="AB20" s="35" t="s">
        <v>1545</v>
      </c>
      <c r="AC20" s="35" t="s">
        <v>1851</v>
      </c>
      <c r="AD20" s="153" t="str">
        <f t="shared" si="0"/>
        <v>Oat_Spring_seeded</v>
      </c>
      <c r="AE20" s="35" t="s">
        <v>1629</v>
      </c>
      <c r="AP20" s="35" t="s">
        <v>154</v>
      </c>
      <c r="AQ20" s="35">
        <v>4</v>
      </c>
      <c r="AR20" s="35">
        <v>4</v>
      </c>
      <c r="AS20" s="35" t="s">
        <v>177</v>
      </c>
      <c r="AT20" s="35">
        <v>400</v>
      </c>
      <c r="AW20" s="63"/>
      <c r="AX20" s="35" t="s">
        <v>185</v>
      </c>
      <c r="BB20" s="35">
        <v>16400</v>
      </c>
      <c r="BC20" s="35">
        <v>19100</v>
      </c>
      <c r="DM20" s="35">
        <v>17250</v>
      </c>
      <c r="DN20" s="35">
        <v>12600</v>
      </c>
      <c r="DS20" s="12"/>
      <c r="DU20" s="15"/>
      <c r="FC20" s="35">
        <v>3</v>
      </c>
    </row>
    <row r="21" spans="1:159" s="35" customFormat="1" x14ac:dyDescent="0.25">
      <c r="A21" s="35">
        <v>3</v>
      </c>
      <c r="B21" s="35" t="s">
        <v>171</v>
      </c>
      <c r="C21" s="35" t="s">
        <v>172</v>
      </c>
      <c r="D21" s="35">
        <v>2008</v>
      </c>
      <c r="E21" s="35">
        <v>2003</v>
      </c>
      <c r="F21" s="35" t="s">
        <v>173</v>
      </c>
      <c r="G21" s="35" t="s">
        <v>174</v>
      </c>
      <c r="H21" s="35">
        <v>49.69</v>
      </c>
      <c r="I21" s="35">
        <v>-112.84</v>
      </c>
      <c r="J21" s="35">
        <v>901</v>
      </c>
      <c r="P21" s="54" t="s">
        <v>179</v>
      </c>
      <c r="Q21" s="54"/>
      <c r="R21" s="54"/>
      <c r="S21" s="54" t="s">
        <v>1640</v>
      </c>
      <c r="T21" s="54" t="s">
        <v>1640</v>
      </c>
      <c r="V21" s="35">
        <v>37</v>
      </c>
      <c r="W21" s="35">
        <v>30</v>
      </c>
      <c r="X21" s="35" t="s">
        <v>175</v>
      </c>
      <c r="AB21" s="35" t="s">
        <v>1545</v>
      </c>
      <c r="AC21" s="35" t="s">
        <v>1844</v>
      </c>
      <c r="AD21" s="153" t="str">
        <f t="shared" si="0"/>
        <v>Rye_Spring_seeded_spring</v>
      </c>
      <c r="AE21" s="35" t="s">
        <v>1629</v>
      </c>
      <c r="AP21" s="35" t="s">
        <v>154</v>
      </c>
      <c r="AQ21" s="35">
        <v>4</v>
      </c>
      <c r="AR21" s="35">
        <v>4</v>
      </c>
      <c r="AS21" s="35" t="s">
        <v>177</v>
      </c>
      <c r="AT21" s="35">
        <v>470</v>
      </c>
      <c r="AW21" s="63"/>
      <c r="AX21" s="35" t="s">
        <v>185</v>
      </c>
      <c r="BB21" s="35">
        <v>16400</v>
      </c>
      <c r="BC21" s="35">
        <v>18700</v>
      </c>
      <c r="DM21" s="35">
        <v>17250</v>
      </c>
      <c r="DN21" s="35">
        <v>14400</v>
      </c>
      <c r="DS21" s="12"/>
      <c r="DU21" s="15"/>
      <c r="FC21" s="35">
        <v>3</v>
      </c>
    </row>
    <row r="22" spans="1:159" s="35" customFormat="1" x14ac:dyDescent="0.25">
      <c r="A22" s="35">
        <v>3</v>
      </c>
      <c r="B22" s="35" t="s">
        <v>171</v>
      </c>
      <c r="C22" s="35" t="s">
        <v>172</v>
      </c>
      <c r="D22" s="35">
        <v>2008</v>
      </c>
      <c r="E22" s="35">
        <v>2004</v>
      </c>
      <c r="F22" s="35" t="s">
        <v>173</v>
      </c>
      <c r="G22" s="35" t="s">
        <v>174</v>
      </c>
      <c r="H22" s="35">
        <v>49.69</v>
      </c>
      <c r="I22" s="35">
        <v>-112.84</v>
      </c>
      <c r="J22" s="35">
        <v>901</v>
      </c>
      <c r="P22" s="54" t="s">
        <v>180</v>
      </c>
      <c r="Q22" s="54"/>
      <c r="R22" s="54"/>
      <c r="S22" s="54" t="s">
        <v>1640</v>
      </c>
      <c r="T22" s="54" t="s">
        <v>1640</v>
      </c>
      <c r="V22" s="35">
        <v>37</v>
      </c>
      <c r="W22" s="35">
        <v>30</v>
      </c>
      <c r="X22" s="35" t="s">
        <v>175</v>
      </c>
      <c r="AB22" s="35" t="s">
        <v>1545</v>
      </c>
      <c r="AC22" s="35" t="s">
        <v>1845</v>
      </c>
      <c r="AD22" s="153" t="str">
        <f t="shared" si="0"/>
        <v>Rye_Fall_seeded_winter</v>
      </c>
      <c r="AE22" s="35" t="s">
        <v>1629</v>
      </c>
      <c r="AP22" s="35" t="s">
        <v>154</v>
      </c>
      <c r="AQ22" s="35">
        <v>4</v>
      </c>
      <c r="AR22" s="35">
        <v>4</v>
      </c>
      <c r="AS22" s="35" t="s">
        <v>177</v>
      </c>
      <c r="AT22" s="35">
        <v>6320</v>
      </c>
      <c r="AW22" s="63"/>
      <c r="AX22" s="35" t="s">
        <v>185</v>
      </c>
      <c r="BB22" s="35">
        <v>11200</v>
      </c>
      <c r="BC22" s="35">
        <v>15100</v>
      </c>
      <c r="DM22" s="35">
        <v>14530</v>
      </c>
      <c r="DN22" s="35">
        <v>6600</v>
      </c>
      <c r="DS22" s="12"/>
      <c r="DU22" s="15"/>
      <c r="FC22" s="35">
        <v>3</v>
      </c>
    </row>
    <row r="23" spans="1:159" s="35" customFormat="1" x14ac:dyDescent="0.25">
      <c r="A23" s="35">
        <v>3</v>
      </c>
      <c r="B23" s="35" t="s">
        <v>171</v>
      </c>
      <c r="C23" s="35" t="s">
        <v>172</v>
      </c>
      <c r="D23" s="35">
        <v>2008</v>
      </c>
      <c r="E23" s="35">
        <v>2004</v>
      </c>
      <c r="F23" s="35" t="s">
        <v>173</v>
      </c>
      <c r="G23" s="35" t="s">
        <v>174</v>
      </c>
      <c r="H23" s="35">
        <v>49.69</v>
      </c>
      <c r="I23" s="35">
        <v>-112.84</v>
      </c>
      <c r="J23" s="35">
        <v>901</v>
      </c>
      <c r="P23" s="54" t="s">
        <v>180</v>
      </c>
      <c r="Q23" s="54"/>
      <c r="R23" s="54"/>
      <c r="S23" s="54" t="s">
        <v>1640</v>
      </c>
      <c r="T23" s="54" t="s">
        <v>1640</v>
      </c>
      <c r="V23" s="35">
        <v>37</v>
      </c>
      <c r="W23" s="35">
        <v>30</v>
      </c>
      <c r="X23" s="35" t="s">
        <v>175</v>
      </c>
      <c r="AB23" s="35" t="s">
        <v>1545</v>
      </c>
      <c r="AC23" s="35" t="s">
        <v>1854</v>
      </c>
      <c r="AD23" s="153" t="str">
        <f t="shared" si="0"/>
        <v>Barley_Fall_seeded</v>
      </c>
      <c r="AE23" s="35" t="s">
        <v>1629</v>
      </c>
      <c r="AP23" s="35" t="s">
        <v>154</v>
      </c>
      <c r="AQ23" s="35">
        <v>4</v>
      </c>
      <c r="AR23" s="35">
        <v>4</v>
      </c>
      <c r="AS23" s="35" t="s">
        <v>177</v>
      </c>
      <c r="AT23" s="35">
        <v>990</v>
      </c>
      <c r="AW23" s="63"/>
      <c r="AX23" s="35" t="s">
        <v>185</v>
      </c>
      <c r="BB23" s="35">
        <v>11200</v>
      </c>
      <c r="BC23" s="35">
        <v>12700</v>
      </c>
      <c r="DM23" s="35">
        <v>14530</v>
      </c>
      <c r="DN23" s="35">
        <v>11830</v>
      </c>
      <c r="DS23" s="12"/>
      <c r="DU23" s="15"/>
      <c r="FC23" s="35">
        <v>3</v>
      </c>
    </row>
    <row r="24" spans="1:159" s="35" customFormat="1" x14ac:dyDescent="0.25">
      <c r="A24" s="35">
        <v>3</v>
      </c>
      <c r="B24" s="35" t="s">
        <v>171</v>
      </c>
      <c r="C24" s="35" t="s">
        <v>172</v>
      </c>
      <c r="D24" s="35">
        <v>2008</v>
      </c>
      <c r="E24" s="35">
        <v>2004</v>
      </c>
      <c r="F24" s="35" t="s">
        <v>173</v>
      </c>
      <c r="G24" s="35" t="s">
        <v>174</v>
      </c>
      <c r="H24" s="35">
        <v>49.69</v>
      </c>
      <c r="I24" s="35">
        <v>-112.84</v>
      </c>
      <c r="J24" s="35">
        <v>901</v>
      </c>
      <c r="P24" s="54" t="s">
        <v>180</v>
      </c>
      <c r="Q24" s="54"/>
      <c r="R24" s="54"/>
      <c r="S24" s="54" t="s">
        <v>1640</v>
      </c>
      <c r="T24" s="54" t="s">
        <v>1640</v>
      </c>
      <c r="V24" s="35">
        <v>37</v>
      </c>
      <c r="W24" s="35">
        <v>30</v>
      </c>
      <c r="X24" s="35" t="s">
        <v>175</v>
      </c>
      <c r="AB24" s="35" t="s">
        <v>1545</v>
      </c>
      <c r="AC24" s="35" t="s">
        <v>1855</v>
      </c>
      <c r="AD24" s="153" t="str">
        <f t="shared" si="0"/>
        <v>Oat_Fall_seeded</v>
      </c>
      <c r="AE24" s="35" t="s">
        <v>1629</v>
      </c>
      <c r="AP24" s="35" t="s">
        <v>154</v>
      </c>
      <c r="AQ24" s="35">
        <v>4</v>
      </c>
      <c r="AR24" s="35">
        <v>4</v>
      </c>
      <c r="AS24" s="35" t="s">
        <v>177</v>
      </c>
      <c r="AT24" s="35">
        <v>1070</v>
      </c>
      <c r="AW24" s="63"/>
      <c r="AX24" s="35" t="s">
        <v>185</v>
      </c>
      <c r="BB24" s="35">
        <v>11200</v>
      </c>
      <c r="BC24" s="35">
        <v>13600</v>
      </c>
      <c r="DM24" s="35">
        <v>14530</v>
      </c>
      <c r="DN24" s="35">
        <v>10700</v>
      </c>
      <c r="DS24" s="12"/>
      <c r="DU24" s="15"/>
      <c r="FC24" s="35">
        <v>3</v>
      </c>
    </row>
    <row r="25" spans="1:159" s="35" customFormat="1" x14ac:dyDescent="0.25">
      <c r="A25" s="35">
        <v>3</v>
      </c>
      <c r="B25" s="35" t="s">
        <v>171</v>
      </c>
      <c r="C25" s="35" t="s">
        <v>172</v>
      </c>
      <c r="D25" s="35">
        <v>2008</v>
      </c>
      <c r="E25" s="35">
        <v>2004</v>
      </c>
      <c r="F25" s="35" t="s">
        <v>173</v>
      </c>
      <c r="G25" s="35" t="s">
        <v>174</v>
      </c>
      <c r="H25" s="35">
        <v>49.69</v>
      </c>
      <c r="I25" s="35">
        <v>-112.84</v>
      </c>
      <c r="J25" s="35">
        <v>901</v>
      </c>
      <c r="P25" s="54" t="s">
        <v>180</v>
      </c>
      <c r="Q25" s="54"/>
      <c r="R25" s="54"/>
      <c r="S25" s="54" t="s">
        <v>1640</v>
      </c>
      <c r="T25" s="54" t="s">
        <v>1640</v>
      </c>
      <c r="V25" s="35">
        <v>37</v>
      </c>
      <c r="W25" s="35">
        <v>30</v>
      </c>
      <c r="X25" s="35" t="s">
        <v>175</v>
      </c>
      <c r="AB25" s="35" t="s">
        <v>1545</v>
      </c>
      <c r="AC25" s="35" t="s">
        <v>1846</v>
      </c>
      <c r="AD25" s="153" t="str">
        <f t="shared" si="0"/>
        <v>Rye_Fall_seeded_spring</v>
      </c>
      <c r="AE25" s="35" t="s">
        <v>1629</v>
      </c>
      <c r="AP25" s="35" t="s">
        <v>154</v>
      </c>
      <c r="AQ25" s="35">
        <v>4</v>
      </c>
      <c r="AR25" s="35">
        <v>4</v>
      </c>
      <c r="AS25" s="35" t="s">
        <v>177</v>
      </c>
      <c r="AT25" s="35">
        <v>1130</v>
      </c>
      <c r="AW25" s="63"/>
      <c r="AX25" s="35" t="s">
        <v>185</v>
      </c>
      <c r="BB25" s="35">
        <v>11200</v>
      </c>
      <c r="BC25" s="35">
        <v>12900</v>
      </c>
      <c r="DM25" s="35">
        <v>14530</v>
      </c>
      <c r="DN25" s="35">
        <v>9940</v>
      </c>
      <c r="DS25" s="12"/>
      <c r="DU25" s="15"/>
      <c r="FC25" s="35">
        <v>3</v>
      </c>
    </row>
    <row r="26" spans="1:159" s="35" customFormat="1" x14ac:dyDescent="0.25">
      <c r="A26" s="35">
        <v>3</v>
      </c>
      <c r="B26" s="35" t="s">
        <v>171</v>
      </c>
      <c r="C26" s="35" t="s">
        <v>172</v>
      </c>
      <c r="D26" s="35">
        <v>2008</v>
      </c>
      <c r="E26" s="35">
        <v>2004</v>
      </c>
      <c r="F26" s="35" t="s">
        <v>173</v>
      </c>
      <c r="G26" s="35" t="s">
        <v>174</v>
      </c>
      <c r="H26" s="35">
        <v>49.69</v>
      </c>
      <c r="I26" s="35">
        <v>-112.84</v>
      </c>
      <c r="J26" s="35">
        <v>901</v>
      </c>
      <c r="P26" s="54" t="s">
        <v>180</v>
      </c>
      <c r="Q26" s="54"/>
      <c r="R26" s="54"/>
      <c r="S26" s="54" t="s">
        <v>1640</v>
      </c>
      <c r="T26" s="54" t="s">
        <v>1640</v>
      </c>
      <c r="V26" s="35">
        <v>37</v>
      </c>
      <c r="W26" s="35">
        <v>30</v>
      </c>
      <c r="X26" s="35" t="s">
        <v>175</v>
      </c>
      <c r="AB26" s="35" t="s">
        <v>1545</v>
      </c>
      <c r="AC26" s="35" t="s">
        <v>1850</v>
      </c>
      <c r="AD26" s="153" t="str">
        <f t="shared" si="0"/>
        <v>Barley_Spring_seeded</v>
      </c>
      <c r="AE26" s="35" t="s">
        <v>1629</v>
      </c>
      <c r="AP26" s="35" t="s">
        <v>154</v>
      </c>
      <c r="AQ26" s="35">
        <v>4</v>
      </c>
      <c r="AR26" s="35">
        <v>4</v>
      </c>
      <c r="AS26" s="35" t="s">
        <v>177</v>
      </c>
      <c r="AT26" s="35">
        <v>560</v>
      </c>
      <c r="AW26" s="63"/>
      <c r="AX26" s="35" t="s">
        <v>185</v>
      </c>
      <c r="BB26" s="35">
        <v>11200</v>
      </c>
      <c r="BC26" s="35">
        <v>11400</v>
      </c>
      <c r="DM26" s="35">
        <v>14530</v>
      </c>
      <c r="DN26" s="35">
        <v>14000</v>
      </c>
      <c r="DS26" s="12"/>
      <c r="DU26" s="15"/>
      <c r="FC26" s="35">
        <v>3</v>
      </c>
    </row>
    <row r="27" spans="1:159" s="35" customFormat="1" x14ac:dyDescent="0.25">
      <c r="A27" s="35">
        <v>3</v>
      </c>
      <c r="B27" s="35" t="s">
        <v>171</v>
      </c>
      <c r="C27" s="35" t="s">
        <v>172</v>
      </c>
      <c r="D27" s="35">
        <v>2008</v>
      </c>
      <c r="E27" s="35">
        <v>2004</v>
      </c>
      <c r="F27" s="35" t="s">
        <v>173</v>
      </c>
      <c r="G27" s="35" t="s">
        <v>174</v>
      </c>
      <c r="H27" s="35">
        <v>49.69</v>
      </c>
      <c r="I27" s="35">
        <v>-112.84</v>
      </c>
      <c r="J27" s="35">
        <v>901</v>
      </c>
      <c r="P27" s="54" t="s">
        <v>180</v>
      </c>
      <c r="Q27" s="54"/>
      <c r="R27" s="54"/>
      <c r="S27" s="54" t="s">
        <v>1640</v>
      </c>
      <c r="T27" s="54" t="s">
        <v>1640</v>
      </c>
      <c r="V27" s="35">
        <v>37</v>
      </c>
      <c r="W27" s="35">
        <v>30</v>
      </c>
      <c r="X27" s="35" t="s">
        <v>175</v>
      </c>
      <c r="AB27" s="35" t="s">
        <v>1545</v>
      </c>
      <c r="AC27" s="35" t="s">
        <v>1851</v>
      </c>
      <c r="AD27" s="153" t="str">
        <f t="shared" si="0"/>
        <v>Oat_Spring_seeded</v>
      </c>
      <c r="AE27" s="35" t="s">
        <v>1629</v>
      </c>
      <c r="AP27" s="35" t="s">
        <v>154</v>
      </c>
      <c r="AQ27" s="35">
        <v>4</v>
      </c>
      <c r="AR27" s="35">
        <v>4</v>
      </c>
      <c r="AS27" s="35" t="s">
        <v>177</v>
      </c>
      <c r="AT27" s="35">
        <v>570</v>
      </c>
      <c r="AW27" s="63"/>
      <c r="AX27" s="35" t="s">
        <v>185</v>
      </c>
      <c r="BB27" s="35">
        <v>11200</v>
      </c>
      <c r="BC27" s="35">
        <v>12600</v>
      </c>
      <c r="DM27" s="35">
        <v>14530</v>
      </c>
      <c r="DN27" s="35">
        <v>14190</v>
      </c>
      <c r="DS27" s="12"/>
      <c r="DU27" s="15"/>
      <c r="FC27" s="35">
        <v>3</v>
      </c>
    </row>
    <row r="28" spans="1:159" s="35" customFormat="1" x14ac:dyDescent="0.25">
      <c r="A28" s="35">
        <v>3</v>
      </c>
      <c r="B28" s="35" t="s">
        <v>171</v>
      </c>
      <c r="C28" s="35" t="s">
        <v>172</v>
      </c>
      <c r="D28" s="35">
        <v>2008</v>
      </c>
      <c r="E28" s="35">
        <v>2004</v>
      </c>
      <c r="F28" s="35" t="s">
        <v>173</v>
      </c>
      <c r="G28" s="35" t="s">
        <v>174</v>
      </c>
      <c r="H28" s="35">
        <v>49.69</v>
      </c>
      <c r="I28" s="35">
        <v>-112.84</v>
      </c>
      <c r="J28" s="35">
        <v>901</v>
      </c>
      <c r="P28" s="54" t="s">
        <v>180</v>
      </c>
      <c r="Q28" s="54"/>
      <c r="R28" s="54"/>
      <c r="S28" s="54" t="s">
        <v>1640</v>
      </c>
      <c r="T28" s="54" t="s">
        <v>1640</v>
      </c>
      <c r="V28" s="35">
        <v>37</v>
      </c>
      <c r="W28" s="35">
        <v>30</v>
      </c>
      <c r="X28" s="35" t="s">
        <v>175</v>
      </c>
      <c r="AB28" s="35" t="s">
        <v>1545</v>
      </c>
      <c r="AC28" s="35" t="s">
        <v>1844</v>
      </c>
      <c r="AD28" s="153" t="str">
        <f t="shared" si="0"/>
        <v>Rye_Spring_seeded_spring</v>
      </c>
      <c r="AE28" s="35" t="s">
        <v>1629</v>
      </c>
      <c r="AP28" s="35" t="s">
        <v>154</v>
      </c>
      <c r="AQ28" s="35">
        <v>4</v>
      </c>
      <c r="AR28" s="35">
        <v>4</v>
      </c>
      <c r="AS28" s="35" t="s">
        <v>177</v>
      </c>
      <c r="AT28" s="35">
        <v>420</v>
      </c>
      <c r="AW28" s="63"/>
      <c r="AX28" s="35" t="s">
        <v>185</v>
      </c>
      <c r="BB28" s="35">
        <v>11200</v>
      </c>
      <c r="BC28" s="35">
        <v>11900</v>
      </c>
      <c r="DM28" s="35">
        <v>14530</v>
      </c>
      <c r="DN28" s="35">
        <v>12700</v>
      </c>
      <c r="DS28" s="12"/>
      <c r="DU28" s="15"/>
      <c r="FC28" s="35">
        <v>3</v>
      </c>
    </row>
    <row r="29" spans="1:159" s="35" customFormat="1" x14ac:dyDescent="0.25">
      <c r="A29" s="35">
        <v>3</v>
      </c>
      <c r="B29" s="35" t="s">
        <v>171</v>
      </c>
      <c r="C29" s="35" t="s">
        <v>172</v>
      </c>
      <c r="D29" s="35">
        <v>2008</v>
      </c>
      <c r="E29" s="35">
        <v>2005</v>
      </c>
      <c r="F29" s="35" t="s">
        <v>173</v>
      </c>
      <c r="G29" s="35" t="s">
        <v>174</v>
      </c>
      <c r="H29" s="35">
        <v>49.69</v>
      </c>
      <c r="I29" s="35">
        <v>-112.84</v>
      </c>
      <c r="J29" s="35">
        <v>901</v>
      </c>
      <c r="P29" s="54" t="s">
        <v>181</v>
      </c>
      <c r="Q29" s="54"/>
      <c r="R29" s="54"/>
      <c r="S29" s="54" t="s">
        <v>1640</v>
      </c>
      <c r="T29" s="54" t="s">
        <v>1640</v>
      </c>
      <c r="V29" s="35">
        <v>37</v>
      </c>
      <c r="W29" s="35">
        <v>30</v>
      </c>
      <c r="X29" s="35" t="s">
        <v>175</v>
      </c>
      <c r="AB29" s="35" t="s">
        <v>1545</v>
      </c>
      <c r="AC29" s="35" t="s">
        <v>1845</v>
      </c>
      <c r="AD29" s="153" t="str">
        <f t="shared" si="0"/>
        <v>Rye_Fall_seeded_winter</v>
      </c>
      <c r="AE29" s="35" t="s">
        <v>1629</v>
      </c>
      <c r="AP29" s="35" t="s">
        <v>154</v>
      </c>
      <c r="AQ29" s="35">
        <v>4</v>
      </c>
      <c r="AR29" s="35">
        <v>4</v>
      </c>
      <c r="AS29" s="35" t="s">
        <v>177</v>
      </c>
      <c r="AT29" s="35">
        <v>7940</v>
      </c>
      <c r="AW29" s="63"/>
      <c r="AX29" s="35" t="s">
        <v>185</v>
      </c>
      <c r="BB29" s="35">
        <v>4400</v>
      </c>
      <c r="BC29" s="35">
        <v>8400</v>
      </c>
      <c r="DM29" s="35">
        <v>19940</v>
      </c>
      <c r="DN29" s="35">
        <v>12920</v>
      </c>
      <c r="DS29" s="12"/>
      <c r="DU29" s="15"/>
      <c r="FC29" s="35">
        <v>3</v>
      </c>
    </row>
    <row r="30" spans="1:159" s="35" customFormat="1" x14ac:dyDescent="0.25">
      <c r="A30" s="35">
        <v>3</v>
      </c>
      <c r="B30" s="35" t="s">
        <v>171</v>
      </c>
      <c r="C30" s="35" t="s">
        <v>172</v>
      </c>
      <c r="D30" s="35">
        <v>2008</v>
      </c>
      <c r="E30" s="35">
        <v>2005</v>
      </c>
      <c r="F30" s="35" t="s">
        <v>173</v>
      </c>
      <c r="G30" s="35" t="s">
        <v>174</v>
      </c>
      <c r="H30" s="35">
        <v>49.69</v>
      </c>
      <c r="I30" s="35">
        <v>-112.84</v>
      </c>
      <c r="J30" s="35">
        <v>901</v>
      </c>
      <c r="P30" s="54" t="s">
        <v>181</v>
      </c>
      <c r="Q30" s="54"/>
      <c r="R30" s="54"/>
      <c r="S30" s="54" t="s">
        <v>1640</v>
      </c>
      <c r="T30" s="54" t="s">
        <v>1640</v>
      </c>
      <c r="V30" s="35">
        <v>37</v>
      </c>
      <c r="W30" s="35">
        <v>30</v>
      </c>
      <c r="X30" s="35" t="s">
        <v>175</v>
      </c>
      <c r="AB30" s="35" t="s">
        <v>1545</v>
      </c>
      <c r="AC30" s="35" t="s">
        <v>1854</v>
      </c>
      <c r="AD30" s="153" t="str">
        <f t="shared" si="0"/>
        <v>Barley_Fall_seeded</v>
      </c>
      <c r="AE30" s="35" t="s">
        <v>1629</v>
      </c>
      <c r="AP30" s="35" t="s">
        <v>154</v>
      </c>
      <c r="AQ30" s="35">
        <v>4</v>
      </c>
      <c r="AR30" s="35">
        <v>4</v>
      </c>
      <c r="AS30" s="35" t="s">
        <v>177</v>
      </c>
      <c r="AT30" s="35">
        <v>380</v>
      </c>
      <c r="AW30" s="63"/>
      <c r="AX30" s="35" t="s">
        <v>185</v>
      </c>
      <c r="BB30" s="35">
        <v>4400</v>
      </c>
      <c r="BC30" s="35">
        <v>6300</v>
      </c>
      <c r="DM30" s="35">
        <v>19940</v>
      </c>
      <c r="DN30" s="35">
        <v>16720</v>
      </c>
      <c r="DS30" s="12"/>
      <c r="DU30" s="15"/>
      <c r="FC30" s="35">
        <v>3</v>
      </c>
    </row>
    <row r="31" spans="1:159" s="35" customFormat="1" x14ac:dyDescent="0.25">
      <c r="A31" s="35">
        <v>3</v>
      </c>
      <c r="B31" s="35" t="s">
        <v>171</v>
      </c>
      <c r="C31" s="35" t="s">
        <v>172</v>
      </c>
      <c r="D31" s="35">
        <v>2008</v>
      </c>
      <c r="E31" s="35">
        <v>2005</v>
      </c>
      <c r="F31" s="35" t="s">
        <v>173</v>
      </c>
      <c r="G31" s="35" t="s">
        <v>174</v>
      </c>
      <c r="H31" s="35">
        <v>49.69</v>
      </c>
      <c r="I31" s="35">
        <v>-112.84</v>
      </c>
      <c r="J31" s="35">
        <v>901</v>
      </c>
      <c r="P31" s="54" t="s">
        <v>181</v>
      </c>
      <c r="Q31" s="54"/>
      <c r="R31" s="54"/>
      <c r="S31" s="54" t="s">
        <v>1640</v>
      </c>
      <c r="T31" s="54" t="s">
        <v>1640</v>
      </c>
      <c r="V31" s="35">
        <v>37</v>
      </c>
      <c r="W31" s="35">
        <v>30</v>
      </c>
      <c r="X31" s="35" t="s">
        <v>175</v>
      </c>
      <c r="AB31" s="35" t="s">
        <v>1545</v>
      </c>
      <c r="AC31" s="35" t="s">
        <v>1855</v>
      </c>
      <c r="AD31" s="153" t="str">
        <f t="shared" si="0"/>
        <v>Oat_Fall_seeded</v>
      </c>
      <c r="AE31" s="35" t="s">
        <v>1629</v>
      </c>
      <c r="AP31" s="35" t="s">
        <v>154</v>
      </c>
      <c r="AQ31" s="35">
        <v>4</v>
      </c>
      <c r="AR31" s="35">
        <v>4</v>
      </c>
      <c r="AS31" s="35" t="s">
        <v>177</v>
      </c>
      <c r="AT31" s="35">
        <v>400</v>
      </c>
      <c r="AW31" s="63"/>
      <c r="AX31" s="35" t="s">
        <v>185</v>
      </c>
      <c r="BB31" s="35">
        <v>4400</v>
      </c>
      <c r="BC31" s="35">
        <v>6500</v>
      </c>
      <c r="DM31" s="35">
        <v>19940</v>
      </c>
      <c r="DN31" s="35">
        <v>14690</v>
      </c>
      <c r="DS31" s="12"/>
      <c r="DU31" s="15"/>
      <c r="FC31" s="35">
        <v>3</v>
      </c>
    </row>
    <row r="32" spans="1:159" s="35" customFormat="1" x14ac:dyDescent="0.25">
      <c r="A32" s="35">
        <v>3</v>
      </c>
      <c r="B32" s="35" t="s">
        <v>171</v>
      </c>
      <c r="C32" s="35" t="s">
        <v>172</v>
      </c>
      <c r="D32" s="35">
        <v>2008</v>
      </c>
      <c r="E32" s="35">
        <v>2005</v>
      </c>
      <c r="F32" s="35" t="s">
        <v>173</v>
      </c>
      <c r="G32" s="35" t="s">
        <v>174</v>
      </c>
      <c r="H32" s="35">
        <v>49.69</v>
      </c>
      <c r="I32" s="35">
        <v>-112.84</v>
      </c>
      <c r="J32" s="35">
        <v>901</v>
      </c>
      <c r="P32" s="54" t="s">
        <v>181</v>
      </c>
      <c r="Q32" s="54"/>
      <c r="R32" s="54"/>
      <c r="S32" s="54" t="s">
        <v>1640</v>
      </c>
      <c r="T32" s="54" t="s">
        <v>1640</v>
      </c>
      <c r="V32" s="35">
        <v>37</v>
      </c>
      <c r="W32" s="35">
        <v>30</v>
      </c>
      <c r="X32" s="35" t="s">
        <v>175</v>
      </c>
      <c r="AB32" s="35" t="s">
        <v>1545</v>
      </c>
      <c r="AC32" s="35" t="s">
        <v>1846</v>
      </c>
      <c r="AD32" s="153" t="str">
        <f t="shared" si="0"/>
        <v>Rye_Fall_seeded_spring</v>
      </c>
      <c r="AE32" s="35" t="s">
        <v>1629</v>
      </c>
      <c r="AP32" s="35" t="s">
        <v>154</v>
      </c>
      <c r="AQ32" s="35">
        <v>4</v>
      </c>
      <c r="AR32" s="35">
        <v>4</v>
      </c>
      <c r="AS32" s="35" t="s">
        <v>177</v>
      </c>
      <c r="AT32" s="35">
        <v>1140</v>
      </c>
      <c r="AW32" s="63"/>
      <c r="AX32" s="35" t="s">
        <v>185</v>
      </c>
      <c r="BB32" s="35">
        <v>4400</v>
      </c>
      <c r="BC32" s="35">
        <v>5700</v>
      </c>
      <c r="DM32" s="35">
        <v>19940</v>
      </c>
      <c r="DN32" s="35">
        <v>15610</v>
      </c>
      <c r="DS32" s="12"/>
      <c r="DU32" s="15"/>
      <c r="FC32" s="35">
        <v>3</v>
      </c>
    </row>
    <row r="33" spans="1:159" s="35" customFormat="1" x14ac:dyDescent="0.25">
      <c r="A33" s="35">
        <v>3</v>
      </c>
      <c r="B33" s="35" t="s">
        <v>171</v>
      </c>
      <c r="C33" s="35" t="s">
        <v>172</v>
      </c>
      <c r="D33" s="35">
        <v>2008</v>
      </c>
      <c r="E33" s="35">
        <v>2005</v>
      </c>
      <c r="F33" s="35" t="s">
        <v>173</v>
      </c>
      <c r="G33" s="35" t="s">
        <v>174</v>
      </c>
      <c r="H33" s="35">
        <v>49.69</v>
      </c>
      <c r="I33" s="35">
        <v>-112.84</v>
      </c>
      <c r="J33" s="35">
        <v>901</v>
      </c>
      <c r="P33" s="54" t="s">
        <v>181</v>
      </c>
      <c r="Q33" s="54"/>
      <c r="R33" s="54"/>
      <c r="S33" s="54" t="s">
        <v>1640</v>
      </c>
      <c r="T33" s="54" t="s">
        <v>1640</v>
      </c>
      <c r="V33" s="35">
        <v>37</v>
      </c>
      <c r="W33" s="35">
        <v>30</v>
      </c>
      <c r="X33" s="35" t="s">
        <v>175</v>
      </c>
      <c r="AB33" s="35" t="s">
        <v>1545</v>
      </c>
      <c r="AC33" s="35" t="s">
        <v>1850</v>
      </c>
      <c r="AD33" s="153" t="str">
        <f t="shared" si="0"/>
        <v>Barley_Spring_seeded</v>
      </c>
      <c r="AE33" s="35" t="s">
        <v>1629</v>
      </c>
      <c r="AP33" s="35" t="s">
        <v>154</v>
      </c>
      <c r="AQ33" s="35">
        <v>4</v>
      </c>
      <c r="AR33" s="35">
        <v>4</v>
      </c>
      <c r="AS33" s="35" t="s">
        <v>177</v>
      </c>
      <c r="AT33" s="35">
        <v>190</v>
      </c>
      <c r="AW33" s="63"/>
      <c r="AX33" s="35" t="s">
        <v>185</v>
      </c>
      <c r="BB33" s="35">
        <v>4400</v>
      </c>
      <c r="BC33" s="35">
        <v>4300</v>
      </c>
      <c r="DM33" s="35">
        <v>19940</v>
      </c>
      <c r="DN33" s="35">
        <v>19570</v>
      </c>
      <c r="DS33" s="12"/>
      <c r="DU33" s="15"/>
      <c r="FC33" s="35">
        <v>3</v>
      </c>
    </row>
    <row r="34" spans="1:159" s="35" customFormat="1" x14ac:dyDescent="0.25">
      <c r="A34" s="35">
        <v>3</v>
      </c>
      <c r="B34" s="35" t="s">
        <v>171</v>
      </c>
      <c r="C34" s="35" t="s">
        <v>172</v>
      </c>
      <c r="D34" s="35">
        <v>2008</v>
      </c>
      <c r="E34" s="35">
        <v>2005</v>
      </c>
      <c r="F34" s="35" t="s">
        <v>173</v>
      </c>
      <c r="G34" s="35" t="s">
        <v>174</v>
      </c>
      <c r="H34" s="35">
        <v>49.69</v>
      </c>
      <c r="I34" s="35">
        <v>-112.84</v>
      </c>
      <c r="J34" s="35">
        <v>901</v>
      </c>
      <c r="P34" s="54" t="s">
        <v>181</v>
      </c>
      <c r="Q34" s="54"/>
      <c r="R34" s="54"/>
      <c r="S34" s="54" t="s">
        <v>1640</v>
      </c>
      <c r="T34" s="54" t="s">
        <v>1640</v>
      </c>
      <c r="V34" s="35">
        <v>37</v>
      </c>
      <c r="W34" s="35">
        <v>30</v>
      </c>
      <c r="X34" s="35" t="s">
        <v>175</v>
      </c>
      <c r="AB34" s="35" t="s">
        <v>1545</v>
      </c>
      <c r="AC34" s="35" t="s">
        <v>1851</v>
      </c>
      <c r="AD34" s="153" t="str">
        <f t="shared" si="0"/>
        <v>Oat_Spring_seeded</v>
      </c>
      <c r="AE34" s="35" t="s">
        <v>1629</v>
      </c>
      <c r="AP34" s="35" t="s">
        <v>154</v>
      </c>
      <c r="AQ34" s="35">
        <v>4</v>
      </c>
      <c r="AR34" s="35">
        <v>4</v>
      </c>
      <c r="AS34" s="35" t="s">
        <v>177</v>
      </c>
      <c r="AT34" s="35">
        <v>280</v>
      </c>
      <c r="AW34" s="63"/>
      <c r="AX34" s="35" t="s">
        <v>185</v>
      </c>
      <c r="BB34" s="35">
        <v>4400</v>
      </c>
      <c r="BC34" s="35">
        <v>4800</v>
      </c>
      <c r="DM34" s="35">
        <v>19940</v>
      </c>
      <c r="DN34" s="35">
        <v>20400</v>
      </c>
      <c r="DS34" s="12"/>
      <c r="DU34" s="15"/>
      <c r="FC34" s="35">
        <v>3</v>
      </c>
    </row>
    <row r="35" spans="1:159" s="35" customFormat="1" x14ac:dyDescent="0.25">
      <c r="A35" s="35">
        <v>3</v>
      </c>
      <c r="B35" s="35" t="s">
        <v>171</v>
      </c>
      <c r="C35" s="35" t="s">
        <v>172</v>
      </c>
      <c r="D35" s="35">
        <v>2008</v>
      </c>
      <c r="E35" s="35">
        <v>2005</v>
      </c>
      <c r="F35" s="35" t="s">
        <v>173</v>
      </c>
      <c r="G35" s="35" t="s">
        <v>174</v>
      </c>
      <c r="H35" s="35">
        <v>49.69</v>
      </c>
      <c r="I35" s="35">
        <v>-112.84</v>
      </c>
      <c r="J35" s="35">
        <v>901</v>
      </c>
      <c r="P35" s="54" t="s">
        <v>181</v>
      </c>
      <c r="Q35" s="54"/>
      <c r="R35" s="54"/>
      <c r="S35" s="54" t="s">
        <v>1640</v>
      </c>
      <c r="T35" s="54" t="s">
        <v>1640</v>
      </c>
      <c r="V35" s="35">
        <v>37</v>
      </c>
      <c r="W35" s="35">
        <v>30</v>
      </c>
      <c r="X35" s="35" t="s">
        <v>175</v>
      </c>
      <c r="AB35" s="35" t="s">
        <v>1545</v>
      </c>
      <c r="AC35" s="35" t="s">
        <v>1844</v>
      </c>
      <c r="AD35" s="153" t="str">
        <f t="shared" si="0"/>
        <v>Rye_Spring_seeded_spring</v>
      </c>
      <c r="AE35" s="35" t="s">
        <v>1629</v>
      </c>
      <c r="AP35" s="35" t="s">
        <v>154</v>
      </c>
      <c r="AQ35" s="35">
        <v>4</v>
      </c>
      <c r="AR35" s="35">
        <v>4</v>
      </c>
      <c r="AS35" s="35" t="s">
        <v>177</v>
      </c>
      <c r="AT35" s="35">
        <v>230</v>
      </c>
      <c r="AW35" s="63"/>
      <c r="AX35" s="35" t="s">
        <v>185</v>
      </c>
      <c r="BB35" s="35">
        <v>4400</v>
      </c>
      <c r="BC35" s="35">
        <v>5000</v>
      </c>
      <c r="DM35" s="35">
        <v>19940</v>
      </c>
      <c r="DN35" s="35">
        <v>20380</v>
      </c>
      <c r="DS35" s="12"/>
      <c r="DU35" s="15"/>
      <c r="FC35" s="35">
        <v>3</v>
      </c>
    </row>
    <row r="36" spans="1:159" s="35" customFormat="1" x14ac:dyDescent="0.25">
      <c r="A36" s="35">
        <v>3</v>
      </c>
      <c r="B36" s="35" t="s">
        <v>171</v>
      </c>
      <c r="C36" s="35" t="s">
        <v>172</v>
      </c>
      <c r="D36" s="35">
        <v>2008</v>
      </c>
      <c r="E36" s="35">
        <v>2003</v>
      </c>
      <c r="F36" s="35" t="s">
        <v>173</v>
      </c>
      <c r="G36" s="35" t="s">
        <v>174</v>
      </c>
      <c r="H36" s="35">
        <v>49.69</v>
      </c>
      <c r="I36" s="35">
        <v>-112.84</v>
      </c>
      <c r="J36" s="35">
        <v>901</v>
      </c>
      <c r="P36" s="54" t="s">
        <v>179</v>
      </c>
      <c r="Q36" s="54"/>
      <c r="R36" s="54"/>
      <c r="S36" s="54" t="s">
        <v>1640</v>
      </c>
      <c r="T36" s="54" t="s">
        <v>1640</v>
      </c>
      <c r="V36" s="35">
        <v>37</v>
      </c>
      <c r="W36" s="35">
        <v>30</v>
      </c>
      <c r="X36" s="35" t="s">
        <v>175</v>
      </c>
      <c r="AB36" s="35" t="s">
        <v>1545</v>
      </c>
      <c r="AC36" s="35" t="s">
        <v>1845</v>
      </c>
      <c r="AD36" s="153" t="str">
        <f t="shared" si="0"/>
        <v>Rye_Fall_seeded_winter</v>
      </c>
      <c r="AE36" s="35" t="s">
        <v>1629</v>
      </c>
      <c r="AP36" s="35" t="s">
        <v>154</v>
      </c>
      <c r="AQ36" s="35">
        <v>4</v>
      </c>
      <c r="AR36" s="35">
        <v>4</v>
      </c>
      <c r="AS36" s="35" t="s">
        <v>177</v>
      </c>
      <c r="AT36" s="35">
        <v>5520</v>
      </c>
      <c r="AW36" s="63"/>
      <c r="AX36" s="35" t="s">
        <v>186</v>
      </c>
      <c r="BB36" s="35">
        <v>33800</v>
      </c>
      <c r="BC36" s="35">
        <v>37300</v>
      </c>
      <c r="DM36" s="35">
        <v>3010</v>
      </c>
      <c r="DN36" s="35">
        <v>1420</v>
      </c>
      <c r="DS36" s="12"/>
      <c r="DU36" s="15"/>
      <c r="FC36" s="35">
        <v>3</v>
      </c>
    </row>
    <row r="37" spans="1:159" s="35" customFormat="1" x14ac:dyDescent="0.25">
      <c r="A37" s="35">
        <v>3</v>
      </c>
      <c r="B37" s="35" t="s">
        <v>171</v>
      </c>
      <c r="C37" s="35" t="s">
        <v>172</v>
      </c>
      <c r="D37" s="35">
        <v>2008</v>
      </c>
      <c r="E37" s="35">
        <v>2003</v>
      </c>
      <c r="F37" s="35" t="s">
        <v>173</v>
      </c>
      <c r="G37" s="35" t="s">
        <v>174</v>
      </c>
      <c r="H37" s="35">
        <v>49.69</v>
      </c>
      <c r="I37" s="35">
        <v>-112.84</v>
      </c>
      <c r="J37" s="35">
        <v>901</v>
      </c>
      <c r="P37" s="54" t="s">
        <v>179</v>
      </c>
      <c r="Q37" s="54"/>
      <c r="R37" s="54"/>
      <c r="S37" s="54" t="s">
        <v>1640</v>
      </c>
      <c r="T37" s="54" t="s">
        <v>1640</v>
      </c>
      <c r="V37" s="35">
        <v>37</v>
      </c>
      <c r="W37" s="35">
        <v>30</v>
      </c>
      <c r="X37" s="35" t="s">
        <v>175</v>
      </c>
      <c r="AB37" s="35" t="s">
        <v>1545</v>
      </c>
      <c r="AC37" s="35" t="s">
        <v>1854</v>
      </c>
      <c r="AD37" s="153" t="str">
        <f t="shared" si="0"/>
        <v>Barley_Fall_seeded</v>
      </c>
      <c r="AE37" s="35" t="s">
        <v>1629</v>
      </c>
      <c r="AP37" s="35" t="s">
        <v>154</v>
      </c>
      <c r="AQ37" s="35">
        <v>4</v>
      </c>
      <c r="AR37" s="35">
        <v>4</v>
      </c>
      <c r="AS37" s="35" t="s">
        <v>177</v>
      </c>
      <c r="AT37" s="35">
        <v>1320</v>
      </c>
      <c r="AW37" s="63"/>
      <c r="AX37" s="35" t="s">
        <v>186</v>
      </c>
      <c r="BB37" s="35">
        <v>33800</v>
      </c>
      <c r="BC37" s="35">
        <v>35600</v>
      </c>
      <c r="DM37" s="35">
        <v>3010</v>
      </c>
      <c r="DN37" s="35">
        <v>3470</v>
      </c>
      <c r="DS37" s="12"/>
      <c r="DU37" s="15"/>
      <c r="FC37" s="35">
        <v>3</v>
      </c>
    </row>
    <row r="38" spans="1:159" s="35" customFormat="1" x14ac:dyDescent="0.25">
      <c r="A38" s="35">
        <v>3</v>
      </c>
      <c r="B38" s="35" t="s">
        <v>171</v>
      </c>
      <c r="C38" s="35" t="s">
        <v>172</v>
      </c>
      <c r="D38" s="35">
        <v>2008</v>
      </c>
      <c r="E38" s="35">
        <v>2003</v>
      </c>
      <c r="F38" s="35" t="s">
        <v>173</v>
      </c>
      <c r="G38" s="35" t="s">
        <v>174</v>
      </c>
      <c r="H38" s="35">
        <v>49.69</v>
      </c>
      <c r="I38" s="35">
        <v>-112.84</v>
      </c>
      <c r="J38" s="35">
        <v>901</v>
      </c>
      <c r="P38" s="54" t="s">
        <v>179</v>
      </c>
      <c r="Q38" s="54"/>
      <c r="R38" s="54"/>
      <c r="S38" s="54" t="s">
        <v>1640</v>
      </c>
      <c r="T38" s="54" t="s">
        <v>1640</v>
      </c>
      <c r="V38" s="35">
        <v>37</v>
      </c>
      <c r="W38" s="35">
        <v>30</v>
      </c>
      <c r="X38" s="35" t="s">
        <v>175</v>
      </c>
      <c r="AB38" s="35" t="s">
        <v>1545</v>
      </c>
      <c r="AC38" s="35" t="s">
        <v>1855</v>
      </c>
      <c r="AD38" s="153" t="str">
        <f t="shared" si="0"/>
        <v>Oat_Fall_seeded</v>
      </c>
      <c r="AE38" s="35" t="s">
        <v>1629</v>
      </c>
      <c r="AP38" s="35" t="s">
        <v>154</v>
      </c>
      <c r="AQ38" s="35">
        <v>4</v>
      </c>
      <c r="AR38" s="35">
        <v>4</v>
      </c>
      <c r="AS38" s="35" t="s">
        <v>177</v>
      </c>
      <c r="AT38" s="35">
        <v>1170</v>
      </c>
      <c r="AW38" s="63"/>
      <c r="AX38" s="35" t="s">
        <v>186</v>
      </c>
      <c r="BB38" s="35">
        <v>33800</v>
      </c>
      <c r="BC38" s="35">
        <v>36100</v>
      </c>
      <c r="DM38" s="35">
        <v>3010</v>
      </c>
      <c r="DN38" s="35">
        <v>2700</v>
      </c>
      <c r="DS38" s="12"/>
      <c r="DU38" s="15"/>
      <c r="FC38" s="35">
        <v>3</v>
      </c>
    </row>
    <row r="39" spans="1:159" s="35" customFormat="1" x14ac:dyDescent="0.25">
      <c r="A39" s="35">
        <v>3</v>
      </c>
      <c r="B39" s="35" t="s">
        <v>171</v>
      </c>
      <c r="C39" s="35" t="s">
        <v>172</v>
      </c>
      <c r="D39" s="35">
        <v>2008</v>
      </c>
      <c r="E39" s="35">
        <v>2003</v>
      </c>
      <c r="F39" s="35" t="s">
        <v>173</v>
      </c>
      <c r="G39" s="35" t="s">
        <v>174</v>
      </c>
      <c r="H39" s="35">
        <v>49.69</v>
      </c>
      <c r="I39" s="35">
        <v>-112.84</v>
      </c>
      <c r="J39" s="35">
        <v>901</v>
      </c>
      <c r="P39" s="54" t="s">
        <v>179</v>
      </c>
      <c r="Q39" s="54"/>
      <c r="R39" s="54"/>
      <c r="S39" s="54" t="s">
        <v>1640</v>
      </c>
      <c r="T39" s="54" t="s">
        <v>1640</v>
      </c>
      <c r="V39" s="35">
        <v>37</v>
      </c>
      <c r="W39" s="35">
        <v>30</v>
      </c>
      <c r="X39" s="35" t="s">
        <v>175</v>
      </c>
      <c r="AB39" s="35" t="s">
        <v>1545</v>
      </c>
      <c r="AC39" s="35" t="s">
        <v>1846</v>
      </c>
      <c r="AD39" s="153" t="str">
        <f t="shared" si="0"/>
        <v>Rye_Fall_seeded_spring</v>
      </c>
      <c r="AE39" s="35" t="s">
        <v>1629</v>
      </c>
      <c r="AP39" s="35" t="s">
        <v>154</v>
      </c>
      <c r="AQ39" s="35">
        <v>4</v>
      </c>
      <c r="AR39" s="35">
        <v>4</v>
      </c>
      <c r="AS39" s="35" t="s">
        <v>177</v>
      </c>
      <c r="AT39" s="35">
        <v>1480</v>
      </c>
      <c r="AW39" s="63"/>
      <c r="AX39" s="35" t="s">
        <v>186</v>
      </c>
      <c r="BB39" s="35">
        <v>33800</v>
      </c>
      <c r="BC39" s="35">
        <v>38300</v>
      </c>
      <c r="DM39" s="35">
        <v>3010</v>
      </c>
      <c r="DN39" s="35">
        <v>2580</v>
      </c>
      <c r="DS39" s="12"/>
      <c r="DU39" s="15"/>
      <c r="FC39" s="35">
        <v>3</v>
      </c>
    </row>
    <row r="40" spans="1:159" s="35" customFormat="1" x14ac:dyDescent="0.25">
      <c r="A40" s="35">
        <v>3</v>
      </c>
      <c r="B40" s="35" t="s">
        <v>171</v>
      </c>
      <c r="C40" s="35" t="s">
        <v>172</v>
      </c>
      <c r="D40" s="35">
        <v>2008</v>
      </c>
      <c r="E40" s="35">
        <v>2003</v>
      </c>
      <c r="F40" s="35" t="s">
        <v>173</v>
      </c>
      <c r="G40" s="35" t="s">
        <v>174</v>
      </c>
      <c r="H40" s="35">
        <v>49.69</v>
      </c>
      <c r="I40" s="35">
        <v>-112.84</v>
      </c>
      <c r="J40" s="35">
        <v>901</v>
      </c>
      <c r="P40" s="54" t="s">
        <v>179</v>
      </c>
      <c r="Q40" s="54"/>
      <c r="R40" s="54"/>
      <c r="S40" s="54" t="s">
        <v>1640</v>
      </c>
      <c r="T40" s="54" t="s">
        <v>1640</v>
      </c>
      <c r="V40" s="35">
        <v>37</v>
      </c>
      <c r="W40" s="35">
        <v>30</v>
      </c>
      <c r="X40" s="35" t="s">
        <v>175</v>
      </c>
      <c r="AB40" s="35" t="s">
        <v>1545</v>
      </c>
      <c r="AC40" s="35" t="s">
        <v>1850</v>
      </c>
      <c r="AD40" s="153" t="str">
        <f t="shared" si="0"/>
        <v>Barley_Spring_seeded</v>
      </c>
      <c r="AE40" s="35" t="s">
        <v>1629</v>
      </c>
      <c r="AP40" s="35" t="s">
        <v>154</v>
      </c>
      <c r="AQ40" s="35">
        <v>4</v>
      </c>
      <c r="AR40" s="35">
        <v>4</v>
      </c>
      <c r="AS40" s="35" t="s">
        <v>177</v>
      </c>
      <c r="AT40" s="35">
        <v>690</v>
      </c>
      <c r="AW40" s="63"/>
      <c r="AX40" s="35" t="s">
        <v>186</v>
      </c>
      <c r="BB40" s="35">
        <v>33800</v>
      </c>
      <c r="BC40" s="35">
        <v>35800</v>
      </c>
      <c r="DM40" s="35">
        <v>3010</v>
      </c>
      <c r="DN40" s="35">
        <v>2640</v>
      </c>
      <c r="DS40" s="12"/>
      <c r="DU40" s="15"/>
      <c r="FC40" s="35">
        <v>3</v>
      </c>
    </row>
    <row r="41" spans="1:159" s="35" customFormat="1" x14ac:dyDescent="0.25">
      <c r="A41" s="35">
        <v>3</v>
      </c>
      <c r="B41" s="35" t="s">
        <v>171</v>
      </c>
      <c r="C41" s="35" t="s">
        <v>172</v>
      </c>
      <c r="D41" s="35">
        <v>2008</v>
      </c>
      <c r="E41" s="35">
        <v>2003</v>
      </c>
      <c r="F41" s="35" t="s">
        <v>173</v>
      </c>
      <c r="G41" s="35" t="s">
        <v>174</v>
      </c>
      <c r="H41" s="35">
        <v>49.69</v>
      </c>
      <c r="I41" s="35">
        <v>-112.84</v>
      </c>
      <c r="J41" s="35">
        <v>901</v>
      </c>
      <c r="P41" s="54" t="s">
        <v>179</v>
      </c>
      <c r="Q41" s="54"/>
      <c r="R41" s="54"/>
      <c r="S41" s="54" t="s">
        <v>1640</v>
      </c>
      <c r="T41" s="54" t="s">
        <v>1640</v>
      </c>
      <c r="V41" s="35">
        <v>37</v>
      </c>
      <c r="W41" s="35">
        <v>30</v>
      </c>
      <c r="X41" s="35" t="s">
        <v>175</v>
      </c>
      <c r="AB41" s="35" t="s">
        <v>1545</v>
      </c>
      <c r="AC41" s="35" t="s">
        <v>1851</v>
      </c>
      <c r="AD41" s="153" t="str">
        <f t="shared" si="0"/>
        <v>Oat_Spring_seeded</v>
      </c>
      <c r="AE41" s="35" t="s">
        <v>1629</v>
      </c>
      <c r="AP41" s="35" t="s">
        <v>154</v>
      </c>
      <c r="AQ41" s="35">
        <v>4</v>
      </c>
      <c r="AR41" s="35">
        <v>4</v>
      </c>
      <c r="AS41" s="35" t="s">
        <v>177</v>
      </c>
      <c r="AT41" s="35">
        <v>400</v>
      </c>
      <c r="AW41" s="63"/>
      <c r="AX41" s="35" t="s">
        <v>186</v>
      </c>
      <c r="BB41" s="35">
        <v>33800</v>
      </c>
      <c r="BC41" s="35">
        <v>35200</v>
      </c>
      <c r="DM41" s="35">
        <v>3010</v>
      </c>
      <c r="DN41" s="35">
        <v>2820</v>
      </c>
      <c r="DS41" s="12"/>
      <c r="DU41" s="15"/>
      <c r="FC41" s="35">
        <v>3</v>
      </c>
    </row>
    <row r="42" spans="1:159" s="35" customFormat="1" x14ac:dyDescent="0.25">
      <c r="A42" s="35">
        <v>3</v>
      </c>
      <c r="B42" s="35" t="s">
        <v>171</v>
      </c>
      <c r="C42" s="35" t="s">
        <v>172</v>
      </c>
      <c r="D42" s="35">
        <v>2008</v>
      </c>
      <c r="E42" s="35">
        <v>2003</v>
      </c>
      <c r="F42" s="35" t="s">
        <v>173</v>
      </c>
      <c r="G42" s="35" t="s">
        <v>174</v>
      </c>
      <c r="H42" s="35">
        <v>49.69</v>
      </c>
      <c r="I42" s="35">
        <v>-112.84</v>
      </c>
      <c r="J42" s="35">
        <v>901</v>
      </c>
      <c r="P42" s="54" t="s">
        <v>179</v>
      </c>
      <c r="Q42" s="54"/>
      <c r="R42" s="54"/>
      <c r="S42" s="54" t="s">
        <v>1640</v>
      </c>
      <c r="T42" s="54" t="s">
        <v>1640</v>
      </c>
      <c r="V42" s="35">
        <v>37</v>
      </c>
      <c r="W42" s="35">
        <v>30</v>
      </c>
      <c r="X42" s="35" t="s">
        <v>175</v>
      </c>
      <c r="AB42" s="35" t="s">
        <v>1545</v>
      </c>
      <c r="AC42" s="35" t="s">
        <v>1844</v>
      </c>
      <c r="AD42" s="153" t="str">
        <f t="shared" si="0"/>
        <v>Rye_Spring_seeded_spring</v>
      </c>
      <c r="AE42" s="35" t="s">
        <v>1629</v>
      </c>
      <c r="AP42" s="35" t="s">
        <v>154</v>
      </c>
      <c r="AQ42" s="35">
        <v>4</v>
      </c>
      <c r="AR42" s="35">
        <v>4</v>
      </c>
      <c r="AS42" s="35" t="s">
        <v>177</v>
      </c>
      <c r="AT42" s="35">
        <v>470</v>
      </c>
      <c r="AW42" s="63"/>
      <c r="AX42" s="35" t="s">
        <v>186</v>
      </c>
      <c r="BB42" s="35">
        <v>33800</v>
      </c>
      <c r="BC42" s="35">
        <v>33900</v>
      </c>
      <c r="DM42" s="35">
        <v>3010</v>
      </c>
      <c r="DN42" s="35">
        <v>3430</v>
      </c>
      <c r="DS42" s="12"/>
      <c r="DU42" s="15"/>
      <c r="FC42" s="35">
        <v>3</v>
      </c>
    </row>
    <row r="43" spans="1:159" s="35" customFormat="1" x14ac:dyDescent="0.25">
      <c r="A43" s="35">
        <v>3</v>
      </c>
      <c r="B43" s="35" t="s">
        <v>171</v>
      </c>
      <c r="C43" s="35" t="s">
        <v>172</v>
      </c>
      <c r="D43" s="35">
        <v>2008</v>
      </c>
      <c r="E43" s="35">
        <v>2004</v>
      </c>
      <c r="F43" s="35" t="s">
        <v>173</v>
      </c>
      <c r="G43" s="35" t="s">
        <v>174</v>
      </c>
      <c r="H43" s="35">
        <v>49.69</v>
      </c>
      <c r="I43" s="35">
        <v>-112.84</v>
      </c>
      <c r="J43" s="35">
        <v>901</v>
      </c>
      <c r="P43" s="54" t="s">
        <v>180</v>
      </c>
      <c r="Q43" s="54"/>
      <c r="R43" s="54"/>
      <c r="S43" s="54" t="s">
        <v>1640</v>
      </c>
      <c r="T43" s="54" t="s">
        <v>1640</v>
      </c>
      <c r="V43" s="35">
        <v>37</v>
      </c>
      <c r="W43" s="35">
        <v>30</v>
      </c>
      <c r="X43" s="35" t="s">
        <v>175</v>
      </c>
      <c r="AB43" s="35" t="s">
        <v>1545</v>
      </c>
      <c r="AC43" s="35" t="s">
        <v>1845</v>
      </c>
      <c r="AD43" s="153" t="str">
        <f t="shared" si="0"/>
        <v>Rye_Fall_seeded_winter</v>
      </c>
      <c r="AE43" s="35" t="s">
        <v>1629</v>
      </c>
      <c r="AP43" s="35" t="s">
        <v>154</v>
      </c>
      <c r="AQ43" s="35">
        <v>4</v>
      </c>
      <c r="AR43" s="35">
        <v>4</v>
      </c>
      <c r="AS43" s="35" t="s">
        <v>177</v>
      </c>
      <c r="AT43" s="35">
        <v>6320</v>
      </c>
      <c r="AW43" s="63"/>
      <c r="AX43" s="35" t="s">
        <v>186</v>
      </c>
      <c r="BB43" s="35">
        <v>28900</v>
      </c>
      <c r="BC43" s="35">
        <v>30800</v>
      </c>
      <c r="DM43" s="35">
        <v>530</v>
      </c>
      <c r="DN43" s="35">
        <v>460</v>
      </c>
      <c r="DS43" s="12"/>
      <c r="DU43" s="15"/>
      <c r="FC43" s="35">
        <v>3</v>
      </c>
    </row>
    <row r="44" spans="1:159" s="35" customFormat="1" x14ac:dyDescent="0.25">
      <c r="A44" s="35">
        <v>3</v>
      </c>
      <c r="B44" s="35" t="s">
        <v>171</v>
      </c>
      <c r="C44" s="35" t="s">
        <v>172</v>
      </c>
      <c r="D44" s="35">
        <v>2008</v>
      </c>
      <c r="E44" s="35">
        <v>2004</v>
      </c>
      <c r="F44" s="35" t="s">
        <v>173</v>
      </c>
      <c r="G44" s="35" t="s">
        <v>174</v>
      </c>
      <c r="H44" s="35">
        <v>49.69</v>
      </c>
      <c r="I44" s="35">
        <v>-112.84</v>
      </c>
      <c r="J44" s="35">
        <v>901</v>
      </c>
      <c r="P44" s="54" t="s">
        <v>180</v>
      </c>
      <c r="Q44" s="54"/>
      <c r="R44" s="54"/>
      <c r="S44" s="54" t="s">
        <v>1640</v>
      </c>
      <c r="T44" s="54" t="s">
        <v>1640</v>
      </c>
      <c r="V44" s="35">
        <v>37</v>
      </c>
      <c r="W44" s="35">
        <v>30</v>
      </c>
      <c r="X44" s="35" t="s">
        <v>175</v>
      </c>
      <c r="AB44" s="35" t="s">
        <v>1545</v>
      </c>
      <c r="AC44" s="35" t="s">
        <v>1854</v>
      </c>
      <c r="AD44" s="153" t="str">
        <f t="shared" si="0"/>
        <v>Barley_Fall_seeded</v>
      </c>
      <c r="AE44" s="35" t="s">
        <v>1629</v>
      </c>
      <c r="AP44" s="35" t="s">
        <v>154</v>
      </c>
      <c r="AQ44" s="35">
        <v>4</v>
      </c>
      <c r="AR44" s="35">
        <v>4</v>
      </c>
      <c r="AS44" s="35" t="s">
        <v>177</v>
      </c>
      <c r="AT44" s="35">
        <v>990</v>
      </c>
      <c r="AW44" s="63"/>
      <c r="AX44" s="35" t="s">
        <v>186</v>
      </c>
      <c r="BB44" s="35">
        <v>28900</v>
      </c>
      <c r="BC44" s="35">
        <v>30800</v>
      </c>
      <c r="DM44" s="35">
        <v>530</v>
      </c>
      <c r="DN44" s="35">
        <v>690</v>
      </c>
      <c r="DS44" s="12"/>
      <c r="DU44" s="15"/>
      <c r="FC44" s="35">
        <v>3</v>
      </c>
    </row>
    <row r="45" spans="1:159" s="35" customFormat="1" x14ac:dyDescent="0.25">
      <c r="A45" s="35">
        <v>3</v>
      </c>
      <c r="B45" s="35" t="s">
        <v>171</v>
      </c>
      <c r="C45" s="35" t="s">
        <v>172</v>
      </c>
      <c r="D45" s="35">
        <v>2008</v>
      </c>
      <c r="E45" s="35">
        <v>2004</v>
      </c>
      <c r="F45" s="35" t="s">
        <v>173</v>
      </c>
      <c r="G45" s="35" t="s">
        <v>174</v>
      </c>
      <c r="H45" s="35">
        <v>49.69</v>
      </c>
      <c r="I45" s="35">
        <v>-112.84</v>
      </c>
      <c r="J45" s="35">
        <v>901</v>
      </c>
      <c r="P45" s="54" t="s">
        <v>180</v>
      </c>
      <c r="Q45" s="54"/>
      <c r="R45" s="54"/>
      <c r="S45" s="54" t="s">
        <v>1640</v>
      </c>
      <c r="T45" s="54" t="s">
        <v>1640</v>
      </c>
      <c r="V45" s="35">
        <v>37</v>
      </c>
      <c r="W45" s="35">
        <v>30</v>
      </c>
      <c r="X45" s="35" t="s">
        <v>175</v>
      </c>
      <c r="AB45" s="35" t="s">
        <v>1545</v>
      </c>
      <c r="AC45" s="35" t="s">
        <v>1855</v>
      </c>
      <c r="AD45" s="153" t="str">
        <f t="shared" si="0"/>
        <v>Oat_Fall_seeded</v>
      </c>
      <c r="AE45" s="35" t="s">
        <v>1629</v>
      </c>
      <c r="AP45" s="35" t="s">
        <v>154</v>
      </c>
      <c r="AQ45" s="35">
        <v>4</v>
      </c>
      <c r="AR45" s="35">
        <v>4</v>
      </c>
      <c r="AS45" s="35" t="s">
        <v>177</v>
      </c>
      <c r="AT45" s="35">
        <v>1070</v>
      </c>
      <c r="AW45" s="63"/>
      <c r="AX45" s="35" t="s">
        <v>186</v>
      </c>
      <c r="BB45" s="35">
        <v>28900</v>
      </c>
      <c r="BC45" s="35">
        <v>31300</v>
      </c>
      <c r="DM45" s="35">
        <v>530</v>
      </c>
      <c r="DN45" s="35">
        <v>440</v>
      </c>
      <c r="DS45" s="12"/>
      <c r="DU45" s="15"/>
      <c r="FC45" s="35">
        <v>3</v>
      </c>
    </row>
    <row r="46" spans="1:159" s="35" customFormat="1" x14ac:dyDescent="0.25">
      <c r="A46" s="35">
        <v>3</v>
      </c>
      <c r="B46" s="35" t="s">
        <v>171</v>
      </c>
      <c r="C46" s="35" t="s">
        <v>172</v>
      </c>
      <c r="D46" s="35">
        <v>2008</v>
      </c>
      <c r="E46" s="35">
        <v>2004</v>
      </c>
      <c r="F46" s="35" t="s">
        <v>173</v>
      </c>
      <c r="G46" s="35" t="s">
        <v>174</v>
      </c>
      <c r="H46" s="35">
        <v>49.69</v>
      </c>
      <c r="I46" s="35">
        <v>-112.84</v>
      </c>
      <c r="J46" s="35">
        <v>901</v>
      </c>
      <c r="P46" s="54" t="s">
        <v>180</v>
      </c>
      <c r="Q46" s="54"/>
      <c r="R46" s="54"/>
      <c r="S46" s="54" t="s">
        <v>1640</v>
      </c>
      <c r="T46" s="54" t="s">
        <v>1640</v>
      </c>
      <c r="V46" s="35">
        <v>37</v>
      </c>
      <c r="W46" s="35">
        <v>30</v>
      </c>
      <c r="X46" s="35" t="s">
        <v>175</v>
      </c>
      <c r="AB46" s="35" t="s">
        <v>1545</v>
      </c>
      <c r="AC46" s="35" t="s">
        <v>1846</v>
      </c>
      <c r="AD46" s="153" t="str">
        <f t="shared" si="0"/>
        <v>Rye_Fall_seeded_spring</v>
      </c>
      <c r="AE46" s="35" t="s">
        <v>1629</v>
      </c>
      <c r="AP46" s="35" t="s">
        <v>154</v>
      </c>
      <c r="AQ46" s="35">
        <v>4</v>
      </c>
      <c r="AR46" s="35">
        <v>4</v>
      </c>
      <c r="AS46" s="35" t="s">
        <v>177</v>
      </c>
      <c r="AT46" s="35">
        <v>1130</v>
      </c>
      <c r="AW46" s="63"/>
      <c r="AX46" s="35" t="s">
        <v>186</v>
      </c>
      <c r="BB46" s="35">
        <v>28900</v>
      </c>
      <c r="BC46" s="35">
        <v>30400</v>
      </c>
      <c r="DM46" s="35">
        <v>530</v>
      </c>
      <c r="DN46" s="35">
        <v>820</v>
      </c>
      <c r="DS46" s="12"/>
      <c r="DU46" s="15"/>
      <c r="FC46" s="35">
        <v>3</v>
      </c>
    </row>
    <row r="47" spans="1:159" s="35" customFormat="1" x14ac:dyDescent="0.25">
      <c r="A47" s="35">
        <v>3</v>
      </c>
      <c r="B47" s="35" t="s">
        <v>171</v>
      </c>
      <c r="C47" s="35" t="s">
        <v>172</v>
      </c>
      <c r="D47" s="35">
        <v>2008</v>
      </c>
      <c r="E47" s="35">
        <v>2004</v>
      </c>
      <c r="F47" s="35" t="s">
        <v>173</v>
      </c>
      <c r="G47" s="35" t="s">
        <v>174</v>
      </c>
      <c r="H47" s="35">
        <v>49.69</v>
      </c>
      <c r="I47" s="35">
        <v>-112.84</v>
      </c>
      <c r="J47" s="35">
        <v>901</v>
      </c>
      <c r="P47" s="54" t="s">
        <v>180</v>
      </c>
      <c r="Q47" s="54"/>
      <c r="R47" s="54"/>
      <c r="S47" s="54" t="s">
        <v>1640</v>
      </c>
      <c r="T47" s="54" t="s">
        <v>1640</v>
      </c>
      <c r="V47" s="35">
        <v>37</v>
      </c>
      <c r="W47" s="35">
        <v>30</v>
      </c>
      <c r="X47" s="35" t="s">
        <v>175</v>
      </c>
      <c r="AB47" s="35" t="s">
        <v>1545</v>
      </c>
      <c r="AC47" s="35" t="s">
        <v>1850</v>
      </c>
      <c r="AD47" s="153" t="str">
        <f t="shared" si="0"/>
        <v>Barley_Spring_seeded</v>
      </c>
      <c r="AE47" s="35" t="s">
        <v>1629</v>
      </c>
      <c r="AP47" s="35" t="s">
        <v>154</v>
      </c>
      <c r="AQ47" s="35">
        <v>4</v>
      </c>
      <c r="AR47" s="35">
        <v>4</v>
      </c>
      <c r="AS47" s="35" t="s">
        <v>177</v>
      </c>
      <c r="AT47" s="35">
        <v>560</v>
      </c>
      <c r="AW47" s="63"/>
      <c r="AX47" s="35" t="s">
        <v>186</v>
      </c>
      <c r="BB47" s="35">
        <v>28900</v>
      </c>
      <c r="BC47" s="35">
        <v>29400</v>
      </c>
      <c r="DM47" s="35">
        <v>530</v>
      </c>
      <c r="DN47" s="35">
        <v>870</v>
      </c>
      <c r="DS47" s="12"/>
      <c r="DU47" s="15"/>
      <c r="FC47" s="35">
        <v>3</v>
      </c>
    </row>
    <row r="48" spans="1:159" s="35" customFormat="1" x14ac:dyDescent="0.25">
      <c r="A48" s="35">
        <v>3</v>
      </c>
      <c r="B48" s="35" t="s">
        <v>171</v>
      </c>
      <c r="C48" s="35" t="s">
        <v>172</v>
      </c>
      <c r="D48" s="35">
        <v>2008</v>
      </c>
      <c r="E48" s="35">
        <v>2004</v>
      </c>
      <c r="F48" s="35" t="s">
        <v>173</v>
      </c>
      <c r="G48" s="35" t="s">
        <v>174</v>
      </c>
      <c r="H48" s="35">
        <v>49.69</v>
      </c>
      <c r="I48" s="35">
        <v>-112.84</v>
      </c>
      <c r="J48" s="35">
        <v>901</v>
      </c>
      <c r="P48" s="54" t="s">
        <v>180</v>
      </c>
      <c r="Q48" s="54"/>
      <c r="R48" s="54"/>
      <c r="S48" s="54" t="s">
        <v>1640</v>
      </c>
      <c r="T48" s="54" t="s">
        <v>1640</v>
      </c>
      <c r="V48" s="35">
        <v>37</v>
      </c>
      <c r="W48" s="35">
        <v>30</v>
      </c>
      <c r="X48" s="35" t="s">
        <v>175</v>
      </c>
      <c r="AB48" s="35" t="s">
        <v>1545</v>
      </c>
      <c r="AC48" s="35" t="s">
        <v>1851</v>
      </c>
      <c r="AD48" s="153" t="str">
        <f t="shared" si="0"/>
        <v>Oat_Spring_seeded</v>
      </c>
      <c r="AE48" s="35" t="s">
        <v>1629</v>
      </c>
      <c r="AP48" s="35" t="s">
        <v>154</v>
      </c>
      <c r="AQ48" s="35">
        <v>4</v>
      </c>
      <c r="AR48" s="35">
        <v>4</v>
      </c>
      <c r="AS48" s="35" t="s">
        <v>177</v>
      </c>
      <c r="AT48" s="35">
        <v>570</v>
      </c>
      <c r="AW48" s="63"/>
      <c r="AX48" s="35" t="s">
        <v>186</v>
      </c>
      <c r="BB48" s="35">
        <v>28900</v>
      </c>
      <c r="BC48" s="35">
        <v>32300</v>
      </c>
      <c r="DM48" s="35">
        <v>530</v>
      </c>
      <c r="DN48" s="35">
        <v>410</v>
      </c>
      <c r="DS48" s="12"/>
      <c r="DU48" s="15"/>
      <c r="FC48" s="35">
        <v>3</v>
      </c>
    </row>
    <row r="49" spans="1:159" s="35" customFormat="1" x14ac:dyDescent="0.25">
      <c r="A49" s="35">
        <v>3</v>
      </c>
      <c r="B49" s="35" t="s">
        <v>171</v>
      </c>
      <c r="C49" s="35" t="s">
        <v>172</v>
      </c>
      <c r="D49" s="35">
        <v>2008</v>
      </c>
      <c r="E49" s="35">
        <v>2004</v>
      </c>
      <c r="F49" s="35" t="s">
        <v>173</v>
      </c>
      <c r="G49" s="35" t="s">
        <v>174</v>
      </c>
      <c r="H49" s="35">
        <v>49.69</v>
      </c>
      <c r="I49" s="35">
        <v>-112.84</v>
      </c>
      <c r="J49" s="35">
        <v>901</v>
      </c>
      <c r="P49" s="54" t="s">
        <v>180</v>
      </c>
      <c r="Q49" s="54"/>
      <c r="R49" s="54"/>
      <c r="S49" s="54" t="s">
        <v>1640</v>
      </c>
      <c r="T49" s="54" t="s">
        <v>1640</v>
      </c>
      <c r="V49" s="35">
        <v>37</v>
      </c>
      <c r="W49" s="35">
        <v>30</v>
      </c>
      <c r="X49" s="35" t="s">
        <v>175</v>
      </c>
      <c r="AB49" s="35" t="s">
        <v>1545</v>
      </c>
      <c r="AC49" s="35" t="s">
        <v>1844</v>
      </c>
      <c r="AD49" s="153" t="str">
        <f t="shared" si="0"/>
        <v>Rye_Spring_seeded_spring</v>
      </c>
      <c r="AE49" s="35" t="s">
        <v>1629</v>
      </c>
      <c r="AP49" s="35" t="s">
        <v>154</v>
      </c>
      <c r="AQ49" s="35">
        <v>4</v>
      </c>
      <c r="AR49" s="35">
        <v>4</v>
      </c>
      <c r="AS49" s="35" t="s">
        <v>177</v>
      </c>
      <c r="AT49" s="35">
        <v>420</v>
      </c>
      <c r="AW49" s="63"/>
      <c r="AX49" s="35" t="s">
        <v>186</v>
      </c>
      <c r="BB49" s="35">
        <v>28900</v>
      </c>
      <c r="BC49" s="35">
        <v>32000</v>
      </c>
      <c r="DM49" s="35">
        <v>530</v>
      </c>
      <c r="DN49" s="35">
        <v>750</v>
      </c>
      <c r="DS49" s="12"/>
      <c r="DU49" s="15"/>
      <c r="FC49" s="35">
        <v>3</v>
      </c>
    </row>
    <row r="50" spans="1:159" s="35" customFormat="1" x14ac:dyDescent="0.25">
      <c r="A50" s="35">
        <v>3</v>
      </c>
      <c r="B50" s="35" t="s">
        <v>171</v>
      </c>
      <c r="C50" s="35" t="s">
        <v>172</v>
      </c>
      <c r="D50" s="35">
        <v>2008</v>
      </c>
      <c r="E50" s="35">
        <v>2005</v>
      </c>
      <c r="F50" s="35" t="s">
        <v>173</v>
      </c>
      <c r="G50" s="35" t="s">
        <v>174</v>
      </c>
      <c r="H50" s="35">
        <v>49.69</v>
      </c>
      <c r="I50" s="35">
        <v>-112.84</v>
      </c>
      <c r="J50" s="35">
        <v>901</v>
      </c>
      <c r="P50" s="54" t="s">
        <v>181</v>
      </c>
      <c r="Q50" s="54"/>
      <c r="R50" s="54"/>
      <c r="S50" s="54" t="s">
        <v>1640</v>
      </c>
      <c r="T50" s="54" t="s">
        <v>1640</v>
      </c>
      <c r="V50" s="35">
        <v>37</v>
      </c>
      <c r="W50" s="35">
        <v>30</v>
      </c>
      <c r="X50" s="35" t="s">
        <v>175</v>
      </c>
      <c r="AB50" s="35" t="s">
        <v>1545</v>
      </c>
      <c r="AC50" s="35" t="s">
        <v>1845</v>
      </c>
      <c r="AD50" s="153" t="str">
        <f t="shared" si="0"/>
        <v>Rye_Fall_seeded_winter</v>
      </c>
      <c r="AE50" s="35" t="s">
        <v>1629</v>
      </c>
      <c r="AP50" s="35" t="s">
        <v>154</v>
      </c>
      <c r="AQ50" s="35">
        <v>4</v>
      </c>
      <c r="AR50" s="35">
        <v>4</v>
      </c>
      <c r="AS50" s="35" t="s">
        <v>177</v>
      </c>
      <c r="AT50" s="35">
        <v>7940</v>
      </c>
      <c r="AW50" s="63"/>
      <c r="AX50" s="35" t="s">
        <v>186</v>
      </c>
      <c r="BB50" s="35">
        <v>33100</v>
      </c>
      <c r="BC50" s="35">
        <v>32800</v>
      </c>
      <c r="DM50" s="35">
        <v>2460</v>
      </c>
      <c r="DN50" s="35">
        <v>1060</v>
      </c>
      <c r="DS50" s="12"/>
      <c r="DU50" s="15"/>
      <c r="FC50" s="35">
        <v>3</v>
      </c>
    </row>
    <row r="51" spans="1:159" s="35" customFormat="1" x14ac:dyDescent="0.25">
      <c r="A51" s="35">
        <v>3</v>
      </c>
      <c r="B51" s="35" t="s">
        <v>171</v>
      </c>
      <c r="C51" s="35" t="s">
        <v>172</v>
      </c>
      <c r="D51" s="35">
        <v>2008</v>
      </c>
      <c r="E51" s="35">
        <v>2005</v>
      </c>
      <c r="F51" s="35" t="s">
        <v>173</v>
      </c>
      <c r="G51" s="35" t="s">
        <v>174</v>
      </c>
      <c r="H51" s="35">
        <v>49.69</v>
      </c>
      <c r="I51" s="35">
        <v>-112.84</v>
      </c>
      <c r="J51" s="35">
        <v>901</v>
      </c>
      <c r="P51" s="54" t="s">
        <v>181</v>
      </c>
      <c r="Q51" s="54"/>
      <c r="R51" s="54"/>
      <c r="S51" s="54" t="s">
        <v>1640</v>
      </c>
      <c r="T51" s="54" t="s">
        <v>1640</v>
      </c>
      <c r="V51" s="35">
        <v>37</v>
      </c>
      <c r="W51" s="35">
        <v>30</v>
      </c>
      <c r="X51" s="35" t="s">
        <v>175</v>
      </c>
      <c r="AB51" s="35" t="s">
        <v>1545</v>
      </c>
      <c r="AC51" s="35" t="s">
        <v>1854</v>
      </c>
      <c r="AD51" s="153" t="str">
        <f t="shared" si="0"/>
        <v>Barley_Fall_seeded</v>
      </c>
      <c r="AE51" s="35" t="s">
        <v>1629</v>
      </c>
      <c r="AP51" s="35" t="s">
        <v>154</v>
      </c>
      <c r="AQ51" s="35">
        <v>4</v>
      </c>
      <c r="AR51" s="35">
        <v>4</v>
      </c>
      <c r="AS51" s="35" t="s">
        <v>177</v>
      </c>
      <c r="AT51" s="35">
        <v>380</v>
      </c>
      <c r="AW51" s="63"/>
      <c r="AX51" s="35" t="s">
        <v>186</v>
      </c>
      <c r="BB51" s="35">
        <v>33100</v>
      </c>
      <c r="BC51" s="35">
        <v>32400</v>
      </c>
      <c r="DM51" s="35">
        <v>2460</v>
      </c>
      <c r="DN51" s="35">
        <v>2820</v>
      </c>
      <c r="DS51" s="12"/>
      <c r="DU51" s="15"/>
      <c r="FC51" s="35">
        <v>3</v>
      </c>
    </row>
    <row r="52" spans="1:159" s="35" customFormat="1" x14ac:dyDescent="0.25">
      <c r="A52" s="35">
        <v>3</v>
      </c>
      <c r="B52" s="35" t="s">
        <v>171</v>
      </c>
      <c r="C52" s="35" t="s">
        <v>172</v>
      </c>
      <c r="D52" s="35">
        <v>2008</v>
      </c>
      <c r="E52" s="35">
        <v>2005</v>
      </c>
      <c r="F52" s="35" t="s">
        <v>173</v>
      </c>
      <c r="G52" s="35" t="s">
        <v>174</v>
      </c>
      <c r="H52" s="35">
        <v>49.69</v>
      </c>
      <c r="I52" s="35">
        <v>-112.84</v>
      </c>
      <c r="J52" s="35">
        <v>901</v>
      </c>
      <c r="P52" s="54" t="s">
        <v>181</v>
      </c>
      <c r="Q52" s="54"/>
      <c r="R52" s="54"/>
      <c r="S52" s="54" t="s">
        <v>1640</v>
      </c>
      <c r="T52" s="54" t="s">
        <v>1640</v>
      </c>
      <c r="V52" s="35">
        <v>37</v>
      </c>
      <c r="W52" s="35">
        <v>30</v>
      </c>
      <c r="X52" s="35" t="s">
        <v>175</v>
      </c>
      <c r="AB52" s="35" t="s">
        <v>1545</v>
      </c>
      <c r="AC52" s="35" t="s">
        <v>1855</v>
      </c>
      <c r="AD52" s="153" t="str">
        <f t="shared" si="0"/>
        <v>Oat_Fall_seeded</v>
      </c>
      <c r="AE52" s="35" t="s">
        <v>1629</v>
      </c>
      <c r="AP52" s="35" t="s">
        <v>154</v>
      </c>
      <c r="AQ52" s="35">
        <v>4</v>
      </c>
      <c r="AR52" s="35">
        <v>4</v>
      </c>
      <c r="AS52" s="35" t="s">
        <v>177</v>
      </c>
      <c r="AT52" s="35">
        <v>400</v>
      </c>
      <c r="AW52" s="63"/>
      <c r="AX52" s="35" t="s">
        <v>186</v>
      </c>
      <c r="BB52" s="35">
        <v>33100</v>
      </c>
      <c r="BC52" s="35">
        <v>32500</v>
      </c>
      <c r="DM52" s="35">
        <v>2460</v>
      </c>
      <c r="DN52" s="35">
        <v>2540</v>
      </c>
      <c r="DS52" s="12"/>
      <c r="DU52" s="15"/>
      <c r="FC52" s="35">
        <v>3</v>
      </c>
    </row>
    <row r="53" spans="1:159" s="35" customFormat="1" x14ac:dyDescent="0.25">
      <c r="A53" s="35">
        <v>3</v>
      </c>
      <c r="B53" s="35" t="s">
        <v>171</v>
      </c>
      <c r="C53" s="35" t="s">
        <v>172</v>
      </c>
      <c r="D53" s="35">
        <v>2008</v>
      </c>
      <c r="E53" s="35">
        <v>2005</v>
      </c>
      <c r="F53" s="35" t="s">
        <v>173</v>
      </c>
      <c r="G53" s="35" t="s">
        <v>174</v>
      </c>
      <c r="H53" s="35">
        <v>49.69</v>
      </c>
      <c r="I53" s="35">
        <v>-112.84</v>
      </c>
      <c r="J53" s="35">
        <v>901</v>
      </c>
      <c r="P53" s="54" t="s">
        <v>181</v>
      </c>
      <c r="Q53" s="54"/>
      <c r="R53" s="54"/>
      <c r="S53" s="54" t="s">
        <v>1640</v>
      </c>
      <c r="T53" s="54" t="s">
        <v>1640</v>
      </c>
      <c r="V53" s="35">
        <v>37</v>
      </c>
      <c r="W53" s="35">
        <v>30</v>
      </c>
      <c r="X53" s="35" t="s">
        <v>175</v>
      </c>
      <c r="AB53" s="35" t="s">
        <v>1545</v>
      </c>
      <c r="AC53" s="35" t="s">
        <v>1846</v>
      </c>
      <c r="AD53" s="153" t="str">
        <f t="shared" si="0"/>
        <v>Rye_Fall_seeded_spring</v>
      </c>
      <c r="AE53" s="35" t="s">
        <v>1629</v>
      </c>
      <c r="AP53" s="35" t="s">
        <v>154</v>
      </c>
      <c r="AQ53" s="35">
        <v>4</v>
      </c>
      <c r="AR53" s="35">
        <v>4</v>
      </c>
      <c r="AS53" s="35" t="s">
        <v>177</v>
      </c>
      <c r="AT53" s="35">
        <v>1140</v>
      </c>
      <c r="AW53" s="63"/>
      <c r="AX53" s="35" t="s">
        <v>186</v>
      </c>
      <c r="BB53" s="35">
        <v>33100</v>
      </c>
      <c r="BC53" s="35">
        <v>34000</v>
      </c>
      <c r="DM53" s="35">
        <v>2460</v>
      </c>
      <c r="DN53" s="35">
        <v>1980</v>
      </c>
      <c r="DS53" s="12"/>
      <c r="DU53" s="15"/>
      <c r="FC53" s="35">
        <v>3</v>
      </c>
    </row>
    <row r="54" spans="1:159" s="35" customFormat="1" x14ac:dyDescent="0.25">
      <c r="A54" s="35">
        <v>3</v>
      </c>
      <c r="B54" s="35" t="s">
        <v>171</v>
      </c>
      <c r="C54" s="35" t="s">
        <v>172</v>
      </c>
      <c r="D54" s="35">
        <v>2008</v>
      </c>
      <c r="E54" s="35">
        <v>2005</v>
      </c>
      <c r="F54" s="35" t="s">
        <v>173</v>
      </c>
      <c r="G54" s="35" t="s">
        <v>174</v>
      </c>
      <c r="H54" s="35">
        <v>49.69</v>
      </c>
      <c r="I54" s="35">
        <v>-112.84</v>
      </c>
      <c r="J54" s="35">
        <v>901</v>
      </c>
      <c r="P54" s="54" t="s">
        <v>181</v>
      </c>
      <c r="Q54" s="54"/>
      <c r="R54" s="54"/>
      <c r="S54" s="54" t="s">
        <v>1640</v>
      </c>
      <c r="T54" s="54" t="s">
        <v>1640</v>
      </c>
      <c r="V54" s="35">
        <v>37</v>
      </c>
      <c r="W54" s="35">
        <v>30</v>
      </c>
      <c r="X54" s="35" t="s">
        <v>175</v>
      </c>
      <c r="AB54" s="35" t="s">
        <v>1545</v>
      </c>
      <c r="AC54" s="35" t="s">
        <v>1850</v>
      </c>
      <c r="AD54" s="153" t="str">
        <f t="shared" si="0"/>
        <v>Barley_Spring_seeded</v>
      </c>
      <c r="AE54" s="35" t="s">
        <v>1629</v>
      </c>
      <c r="AP54" s="35" t="s">
        <v>154</v>
      </c>
      <c r="AQ54" s="35">
        <v>4</v>
      </c>
      <c r="AR54" s="35">
        <v>4</v>
      </c>
      <c r="AS54" s="35" t="s">
        <v>177</v>
      </c>
      <c r="AT54" s="35">
        <v>190</v>
      </c>
      <c r="AW54" s="63"/>
      <c r="AX54" s="35" t="s">
        <v>186</v>
      </c>
      <c r="BB54" s="35">
        <v>33100</v>
      </c>
      <c r="BC54" s="35">
        <v>30600</v>
      </c>
      <c r="DM54" s="35">
        <v>2460</v>
      </c>
      <c r="DN54" s="35">
        <v>1940</v>
      </c>
      <c r="DS54" s="12"/>
      <c r="DU54" s="15"/>
      <c r="FC54" s="35">
        <v>3</v>
      </c>
    </row>
    <row r="55" spans="1:159" s="35" customFormat="1" x14ac:dyDescent="0.25">
      <c r="A55" s="35">
        <v>3</v>
      </c>
      <c r="B55" s="35" t="s">
        <v>171</v>
      </c>
      <c r="C55" s="35" t="s">
        <v>172</v>
      </c>
      <c r="D55" s="35">
        <v>2008</v>
      </c>
      <c r="E55" s="35">
        <v>2005</v>
      </c>
      <c r="F55" s="35" t="s">
        <v>173</v>
      </c>
      <c r="G55" s="35" t="s">
        <v>174</v>
      </c>
      <c r="H55" s="35">
        <v>49.69</v>
      </c>
      <c r="I55" s="35">
        <v>-112.84</v>
      </c>
      <c r="J55" s="35">
        <v>901</v>
      </c>
      <c r="P55" s="54" t="s">
        <v>181</v>
      </c>
      <c r="Q55" s="54"/>
      <c r="R55" s="54"/>
      <c r="S55" s="54" t="s">
        <v>1640</v>
      </c>
      <c r="T55" s="54" t="s">
        <v>1640</v>
      </c>
      <c r="V55" s="35">
        <v>37</v>
      </c>
      <c r="W55" s="35">
        <v>30</v>
      </c>
      <c r="X55" s="35" t="s">
        <v>175</v>
      </c>
      <c r="AB55" s="35" t="s">
        <v>1545</v>
      </c>
      <c r="AC55" s="35" t="s">
        <v>1851</v>
      </c>
      <c r="AD55" s="153" t="str">
        <f t="shared" si="0"/>
        <v>Oat_Spring_seeded</v>
      </c>
      <c r="AE55" s="35" t="s">
        <v>1629</v>
      </c>
      <c r="AP55" s="35" t="s">
        <v>154</v>
      </c>
      <c r="AQ55" s="35">
        <v>4</v>
      </c>
      <c r="AR55" s="35">
        <v>4</v>
      </c>
      <c r="AS55" s="35" t="s">
        <v>177</v>
      </c>
      <c r="AT55" s="35">
        <v>280</v>
      </c>
      <c r="AW55" s="63"/>
      <c r="AX55" s="35" t="s">
        <v>186</v>
      </c>
      <c r="BB55" s="35">
        <v>33100</v>
      </c>
      <c r="BC55" s="35">
        <v>30900</v>
      </c>
      <c r="DM55" s="35">
        <v>2460</v>
      </c>
      <c r="DN55" s="35">
        <v>1910</v>
      </c>
      <c r="DS55" s="12"/>
      <c r="DU55" s="15"/>
      <c r="FC55" s="35">
        <v>3</v>
      </c>
    </row>
    <row r="56" spans="1:159" s="35" customFormat="1" x14ac:dyDescent="0.25">
      <c r="A56" s="35">
        <v>3</v>
      </c>
      <c r="B56" s="35" t="s">
        <v>171</v>
      </c>
      <c r="C56" s="35" t="s">
        <v>172</v>
      </c>
      <c r="D56" s="35">
        <v>2008</v>
      </c>
      <c r="E56" s="35">
        <v>2005</v>
      </c>
      <c r="F56" s="35" t="s">
        <v>173</v>
      </c>
      <c r="G56" s="35" t="s">
        <v>174</v>
      </c>
      <c r="H56" s="35">
        <v>49.69</v>
      </c>
      <c r="I56" s="35">
        <v>-112.84</v>
      </c>
      <c r="J56" s="35">
        <v>901</v>
      </c>
      <c r="P56" s="54" t="s">
        <v>181</v>
      </c>
      <c r="Q56" s="54"/>
      <c r="R56" s="54"/>
      <c r="S56" s="54" t="s">
        <v>1640</v>
      </c>
      <c r="T56" s="54" t="s">
        <v>1640</v>
      </c>
      <c r="V56" s="35">
        <v>37</v>
      </c>
      <c r="W56" s="35">
        <v>30</v>
      </c>
      <c r="X56" s="35" t="s">
        <v>175</v>
      </c>
      <c r="AB56" s="35" t="s">
        <v>1545</v>
      </c>
      <c r="AC56" s="35" t="s">
        <v>1844</v>
      </c>
      <c r="AD56" s="153" t="str">
        <f t="shared" si="0"/>
        <v>Rye_Spring_seeded_spring</v>
      </c>
      <c r="AE56" s="35" t="s">
        <v>1629</v>
      </c>
      <c r="AP56" s="35" t="s">
        <v>154</v>
      </c>
      <c r="AQ56" s="35">
        <v>4</v>
      </c>
      <c r="AR56" s="35">
        <v>4</v>
      </c>
      <c r="AS56" s="35" t="s">
        <v>177</v>
      </c>
      <c r="AT56" s="35">
        <v>230</v>
      </c>
      <c r="AW56" s="63"/>
      <c r="AX56" s="35" t="s">
        <v>186</v>
      </c>
      <c r="BB56" s="35">
        <v>33100</v>
      </c>
      <c r="BC56" s="35">
        <v>30500</v>
      </c>
      <c r="DM56" s="35">
        <v>2460</v>
      </c>
      <c r="DN56" s="35">
        <v>2070</v>
      </c>
      <c r="DS56" s="12"/>
      <c r="DU56" s="15"/>
      <c r="FC56" s="35">
        <v>3</v>
      </c>
    </row>
    <row r="57" spans="1:159" s="24" customFormat="1" x14ac:dyDescent="0.25">
      <c r="A57" s="24">
        <v>4</v>
      </c>
      <c r="B57" s="24" t="s">
        <v>191</v>
      </c>
      <c r="C57" s="24" t="s">
        <v>192</v>
      </c>
      <c r="D57" s="24">
        <v>2010</v>
      </c>
      <c r="E57" s="24">
        <f>(1995+2009)/2</f>
        <v>2002</v>
      </c>
      <c r="F57" s="24" t="s">
        <v>193</v>
      </c>
      <c r="G57" s="24" t="s">
        <v>194</v>
      </c>
      <c r="H57" s="24">
        <v>38.14</v>
      </c>
      <c r="I57" s="24">
        <v>-97.43</v>
      </c>
      <c r="J57" s="24">
        <v>450</v>
      </c>
      <c r="L57" s="24">
        <v>14.4</v>
      </c>
      <c r="N57" s="24">
        <v>874</v>
      </c>
      <c r="P57" s="55" t="s">
        <v>207</v>
      </c>
      <c r="Q57" s="55"/>
      <c r="R57" s="55"/>
      <c r="S57" s="55" t="s">
        <v>1645</v>
      </c>
      <c r="T57" s="55" t="s">
        <v>1647</v>
      </c>
      <c r="X57" s="24" t="s">
        <v>195</v>
      </c>
      <c r="AB57" s="24" t="s">
        <v>1546</v>
      </c>
      <c r="AC57" s="24" t="s">
        <v>205</v>
      </c>
      <c r="AD57" s="153" t="str">
        <f t="shared" si="0"/>
        <v>Legume</v>
      </c>
      <c r="AE57" s="24" t="s">
        <v>1642</v>
      </c>
      <c r="AG57" s="24" t="s">
        <v>204</v>
      </c>
      <c r="AH57" s="24" t="s">
        <v>204</v>
      </c>
      <c r="AI57" s="24" t="s">
        <v>230</v>
      </c>
      <c r="AJ57" s="24" t="s">
        <v>203</v>
      </c>
      <c r="AK57" s="24" t="s">
        <v>203</v>
      </c>
      <c r="AL57" s="24" t="s">
        <v>230</v>
      </c>
      <c r="AM57" s="24" t="s">
        <v>209</v>
      </c>
      <c r="AN57" s="24" t="s">
        <v>209</v>
      </c>
      <c r="AO57" s="24" t="s">
        <v>230</v>
      </c>
      <c r="AP57" s="24" t="s">
        <v>208</v>
      </c>
      <c r="AQ57" s="24">
        <v>4</v>
      </c>
      <c r="AR57" s="24">
        <v>4</v>
      </c>
      <c r="AS57" s="24" t="s">
        <v>177</v>
      </c>
      <c r="AW57" s="65"/>
      <c r="BD57" s="25"/>
      <c r="BE57" s="24">
        <v>1.698</v>
      </c>
      <c r="BF57" s="24">
        <v>1.6326000000000001</v>
      </c>
      <c r="BH57" s="24">
        <f>13.681/10</f>
        <v>1.3680999999999999</v>
      </c>
      <c r="BI57" s="24">
        <f>16.9325/10</f>
        <v>1.6932500000000001</v>
      </c>
      <c r="CF57" s="24">
        <v>24</v>
      </c>
      <c r="CG57" s="24">
        <v>44</v>
      </c>
      <c r="CO57" s="24">
        <f>(1.1169+4.1126+5.577+10.9731)/4</f>
        <v>5.4449000000000005</v>
      </c>
      <c r="CP57" s="24">
        <f>(0.4534+10.1059+14.3185+18.7023)/4</f>
        <v>10.895025</v>
      </c>
      <c r="CQ57" s="24" t="s">
        <v>214</v>
      </c>
      <c r="DD57" s="24">
        <v>21.817599999999999</v>
      </c>
      <c r="DE57" s="24">
        <v>18.354199999999999</v>
      </c>
      <c r="DG57" s="24">
        <v>0.15659999999999999</v>
      </c>
      <c r="DH57" s="24">
        <v>0.16850000000000001</v>
      </c>
      <c r="DS57" s="24">
        <v>92.7</v>
      </c>
      <c r="DT57" s="24">
        <v>372.7</v>
      </c>
      <c r="DU57" s="15"/>
      <c r="FA57" s="24" t="s">
        <v>857</v>
      </c>
      <c r="FC57" s="24">
        <v>4</v>
      </c>
    </row>
    <row r="58" spans="1:159" s="24" customFormat="1" x14ac:dyDescent="0.25">
      <c r="A58" s="24">
        <v>4</v>
      </c>
      <c r="B58" s="24" t="s">
        <v>191</v>
      </c>
      <c r="C58" s="24" t="s">
        <v>192</v>
      </c>
      <c r="D58" s="24">
        <v>2010</v>
      </c>
      <c r="E58" s="24">
        <f>(1995+2009)/2</f>
        <v>2002</v>
      </c>
      <c r="F58" s="24" t="s">
        <v>193</v>
      </c>
      <c r="G58" s="24" t="s">
        <v>194</v>
      </c>
      <c r="H58" s="24">
        <v>38.14</v>
      </c>
      <c r="I58" s="24">
        <v>-97.43</v>
      </c>
      <c r="J58" s="24">
        <v>450</v>
      </c>
      <c r="L58" s="24">
        <v>14.4</v>
      </c>
      <c r="N58" s="24">
        <v>874</v>
      </c>
      <c r="P58" s="55" t="s">
        <v>207</v>
      </c>
      <c r="Q58" s="55"/>
      <c r="R58" s="55"/>
      <c r="S58" s="55" t="s">
        <v>1646</v>
      </c>
      <c r="T58" s="55" t="s">
        <v>1647</v>
      </c>
      <c r="X58" s="24" t="s">
        <v>195</v>
      </c>
      <c r="AB58" s="24" t="s">
        <v>1546</v>
      </c>
      <c r="AC58" s="24" t="s">
        <v>205</v>
      </c>
      <c r="AD58" s="153" t="str">
        <f t="shared" si="0"/>
        <v>Legume</v>
      </c>
      <c r="AE58" s="24" t="s">
        <v>1642</v>
      </c>
      <c r="AG58" s="24" t="s">
        <v>204</v>
      </c>
      <c r="AH58" s="24" t="s">
        <v>204</v>
      </c>
      <c r="AI58" s="24" t="s">
        <v>230</v>
      </c>
      <c r="AJ58" s="24" t="s">
        <v>203</v>
      </c>
      <c r="AK58" s="24" t="s">
        <v>203</v>
      </c>
      <c r="AL58" s="24" t="s">
        <v>230</v>
      </c>
      <c r="AM58" s="24" t="s">
        <v>209</v>
      </c>
      <c r="AN58" s="24" t="s">
        <v>209</v>
      </c>
      <c r="AO58" s="24" t="s">
        <v>230</v>
      </c>
      <c r="AP58" s="24" t="s">
        <v>208</v>
      </c>
      <c r="AQ58" s="24">
        <v>4</v>
      </c>
      <c r="AR58" s="24">
        <v>4</v>
      </c>
      <c r="AS58" s="24" t="s">
        <v>177</v>
      </c>
      <c r="AW58" s="65"/>
      <c r="BD58" s="25"/>
      <c r="BE58" s="24">
        <v>1.6915</v>
      </c>
      <c r="BF58" s="24">
        <v>1.6998</v>
      </c>
      <c r="BH58" s="24">
        <f>10.3067/10</f>
        <v>1.03067</v>
      </c>
      <c r="BI58" s="24">
        <f>10.7055/10</f>
        <v>1.0705500000000001</v>
      </c>
      <c r="CF58" s="24">
        <v>14</v>
      </c>
      <c r="CG58" s="24">
        <v>24</v>
      </c>
      <c r="DD58" s="24">
        <v>18.5625</v>
      </c>
      <c r="DE58" s="24">
        <v>16.010400000000001</v>
      </c>
      <c r="DG58" s="24">
        <v>0.152</v>
      </c>
      <c r="DH58" s="24">
        <v>0.16300000000000001</v>
      </c>
      <c r="DU58" s="15"/>
      <c r="FA58" s="24" t="s">
        <v>857</v>
      </c>
      <c r="FC58" s="24">
        <v>4</v>
      </c>
    </row>
    <row r="59" spans="1:159" s="24" customFormat="1" x14ac:dyDescent="0.25">
      <c r="A59" s="24">
        <v>4</v>
      </c>
      <c r="B59" s="24" t="s">
        <v>191</v>
      </c>
      <c r="C59" s="24" t="s">
        <v>192</v>
      </c>
      <c r="D59" s="24">
        <v>2010</v>
      </c>
      <c r="E59" s="24">
        <f t="shared" ref="E59:E64" si="1">(1995+2009)/2</f>
        <v>2002</v>
      </c>
      <c r="F59" s="24" t="s">
        <v>193</v>
      </c>
      <c r="G59" s="24" t="s">
        <v>194</v>
      </c>
      <c r="H59" s="24">
        <v>38.14</v>
      </c>
      <c r="I59" s="24">
        <v>-97.43</v>
      </c>
      <c r="J59" s="24">
        <v>450</v>
      </c>
      <c r="L59" s="24">
        <v>14.4</v>
      </c>
      <c r="N59" s="24">
        <v>874</v>
      </c>
      <c r="P59" s="55" t="s">
        <v>207</v>
      </c>
      <c r="Q59" s="55"/>
      <c r="R59" s="55"/>
      <c r="S59" s="55" t="s">
        <v>1645</v>
      </c>
      <c r="T59" s="55" t="s">
        <v>1647</v>
      </c>
      <c r="X59" s="24" t="s">
        <v>195</v>
      </c>
      <c r="AB59" s="24" t="s">
        <v>1546</v>
      </c>
      <c r="AC59" s="24" t="s">
        <v>206</v>
      </c>
      <c r="AD59" s="153" t="str">
        <f t="shared" si="0"/>
        <v>Grass</v>
      </c>
      <c r="AE59" s="24" t="s">
        <v>1642</v>
      </c>
      <c r="AG59" s="24" t="s">
        <v>204</v>
      </c>
      <c r="AH59" s="24" t="s">
        <v>204</v>
      </c>
      <c r="AI59" s="24" t="s">
        <v>230</v>
      </c>
      <c r="AJ59" s="24" t="s">
        <v>203</v>
      </c>
      <c r="AK59" s="24" t="s">
        <v>203</v>
      </c>
      <c r="AL59" s="24" t="s">
        <v>230</v>
      </c>
      <c r="AM59" s="24" t="s">
        <v>209</v>
      </c>
      <c r="AN59" s="24" t="s">
        <v>209</v>
      </c>
      <c r="AO59" s="24" t="s">
        <v>230</v>
      </c>
      <c r="AP59" s="24" t="s">
        <v>208</v>
      </c>
      <c r="AQ59" s="24">
        <v>4</v>
      </c>
      <c r="AR59" s="24">
        <v>4</v>
      </c>
      <c r="AS59" s="24" t="s">
        <v>177</v>
      </c>
      <c r="AW59" s="65"/>
      <c r="BD59" s="25"/>
      <c r="BE59" s="24">
        <v>1.698</v>
      </c>
      <c r="BF59" s="24">
        <v>1.6104000000000001</v>
      </c>
      <c r="BH59" s="24">
        <f>13.681/10</f>
        <v>1.3680999999999999</v>
      </c>
      <c r="BI59" s="24">
        <f>18.1595/10</f>
        <v>1.8159500000000002</v>
      </c>
      <c r="CF59" s="24">
        <v>24</v>
      </c>
      <c r="CG59" s="24">
        <v>41</v>
      </c>
      <c r="CO59" s="24">
        <f t="shared" ref="CO59" si="2">(1.1169+4.1126+5.577+10.9731)/4</f>
        <v>5.4449000000000005</v>
      </c>
      <c r="CP59" s="24">
        <f>(5.8369+13.6663+17.0158+24.68)/4</f>
        <v>15.29975</v>
      </c>
      <c r="CQ59" s="24" t="s">
        <v>214</v>
      </c>
      <c r="DD59" s="24">
        <v>21.817599999999999</v>
      </c>
      <c r="DE59" s="24">
        <v>18.197900000000001</v>
      </c>
      <c r="DG59" s="24">
        <v>0.15659999999999999</v>
      </c>
      <c r="DH59" s="24">
        <v>0.1772</v>
      </c>
      <c r="DS59" s="24">
        <v>92.7</v>
      </c>
      <c r="DT59" s="24">
        <v>623.6</v>
      </c>
      <c r="DU59" s="15"/>
      <c r="FA59" s="24" t="s">
        <v>857</v>
      </c>
      <c r="FC59" s="24">
        <v>4</v>
      </c>
    </row>
    <row r="60" spans="1:159" s="24" customFormat="1" x14ac:dyDescent="0.25">
      <c r="A60" s="24">
        <v>4</v>
      </c>
      <c r="B60" s="24" t="s">
        <v>191</v>
      </c>
      <c r="C60" s="24" t="s">
        <v>192</v>
      </c>
      <c r="D60" s="24">
        <v>2010</v>
      </c>
      <c r="E60" s="24">
        <f t="shared" si="1"/>
        <v>2002</v>
      </c>
      <c r="F60" s="24" t="s">
        <v>193</v>
      </c>
      <c r="G60" s="24" t="s">
        <v>194</v>
      </c>
      <c r="H60" s="24">
        <v>38.14</v>
      </c>
      <c r="I60" s="24">
        <v>-97.43</v>
      </c>
      <c r="J60" s="24">
        <v>450</v>
      </c>
      <c r="L60" s="24">
        <v>14.4</v>
      </c>
      <c r="N60" s="24">
        <v>874</v>
      </c>
      <c r="P60" s="55" t="s">
        <v>207</v>
      </c>
      <c r="Q60" s="55"/>
      <c r="R60" s="55"/>
      <c r="S60" s="55" t="s">
        <v>1646</v>
      </c>
      <c r="T60" s="55" t="s">
        <v>1647</v>
      </c>
      <c r="X60" s="24" t="s">
        <v>195</v>
      </c>
      <c r="AB60" s="24" t="s">
        <v>1546</v>
      </c>
      <c r="AC60" s="24" t="s">
        <v>206</v>
      </c>
      <c r="AD60" s="153" t="str">
        <f t="shared" si="0"/>
        <v>Grass</v>
      </c>
      <c r="AE60" s="24" t="s">
        <v>1642</v>
      </c>
      <c r="AG60" s="24" t="s">
        <v>204</v>
      </c>
      <c r="AH60" s="24" t="s">
        <v>204</v>
      </c>
      <c r="AI60" s="24" t="s">
        <v>230</v>
      </c>
      <c r="AJ60" s="24" t="s">
        <v>203</v>
      </c>
      <c r="AK60" s="24" t="s">
        <v>203</v>
      </c>
      <c r="AL60" s="24" t="s">
        <v>230</v>
      </c>
      <c r="AM60" s="24" t="s">
        <v>209</v>
      </c>
      <c r="AN60" s="24" t="s">
        <v>209</v>
      </c>
      <c r="AO60" s="24" t="s">
        <v>230</v>
      </c>
      <c r="AP60" s="24" t="s">
        <v>208</v>
      </c>
      <c r="AQ60" s="24">
        <v>4</v>
      </c>
      <c r="AR60" s="24">
        <v>4</v>
      </c>
      <c r="AS60" s="24" t="s">
        <v>177</v>
      </c>
      <c r="AW60" s="65"/>
      <c r="BD60" s="25"/>
      <c r="BE60" s="24">
        <v>1.6915</v>
      </c>
      <c r="BF60" s="24">
        <v>1.6932</v>
      </c>
      <c r="BH60" s="24">
        <f>10.3067/10</f>
        <v>1.03067</v>
      </c>
      <c r="BI60" s="24">
        <f>10.6135/10</f>
        <v>1.06135</v>
      </c>
      <c r="CF60" s="24">
        <v>14</v>
      </c>
      <c r="CG60" s="24">
        <v>18</v>
      </c>
      <c r="DD60" s="24">
        <v>18.5625</v>
      </c>
      <c r="DE60" s="24">
        <v>16.244800000000001</v>
      </c>
      <c r="DG60" s="24">
        <v>0.152</v>
      </c>
      <c r="DH60" s="24">
        <v>0.16789999999999999</v>
      </c>
      <c r="DS60" s="12"/>
      <c r="DU60" s="15"/>
      <c r="FA60" s="24" t="s">
        <v>857</v>
      </c>
      <c r="FC60" s="24">
        <v>4</v>
      </c>
    </row>
    <row r="61" spans="1:159" s="24" customFormat="1" x14ac:dyDescent="0.25">
      <c r="A61" s="24">
        <v>4</v>
      </c>
      <c r="B61" s="24" t="s">
        <v>191</v>
      </c>
      <c r="C61" s="24" t="s">
        <v>192</v>
      </c>
      <c r="D61" s="24">
        <v>2010</v>
      </c>
      <c r="E61" s="24">
        <f t="shared" si="1"/>
        <v>2002</v>
      </c>
      <c r="F61" s="24" t="s">
        <v>193</v>
      </c>
      <c r="G61" s="24" t="s">
        <v>194</v>
      </c>
      <c r="H61" s="24">
        <v>38.14</v>
      </c>
      <c r="I61" s="24">
        <v>-97.43</v>
      </c>
      <c r="J61" s="24">
        <v>450</v>
      </c>
      <c r="L61" s="24">
        <v>14.4</v>
      </c>
      <c r="N61" s="24">
        <v>874</v>
      </c>
      <c r="P61" s="55" t="s">
        <v>207</v>
      </c>
      <c r="Q61" s="55"/>
      <c r="R61" s="55"/>
      <c r="S61" s="55" t="s">
        <v>1645</v>
      </c>
      <c r="T61" s="55" t="s">
        <v>1647</v>
      </c>
      <c r="X61" s="24" t="s">
        <v>195</v>
      </c>
      <c r="AB61" s="24" t="s">
        <v>1546</v>
      </c>
      <c r="AC61" s="24" t="s">
        <v>205</v>
      </c>
      <c r="AD61" s="153" t="str">
        <f t="shared" si="0"/>
        <v>Legume</v>
      </c>
      <c r="AE61" s="24" t="s">
        <v>1642</v>
      </c>
      <c r="AG61" s="24" t="s">
        <v>204</v>
      </c>
      <c r="AH61" s="24" t="s">
        <v>204</v>
      </c>
      <c r="AI61" s="24" t="s">
        <v>230</v>
      </c>
      <c r="AJ61" s="24" t="s">
        <v>203</v>
      </c>
      <c r="AK61" s="24" t="s">
        <v>203</v>
      </c>
      <c r="AL61" s="24" t="s">
        <v>230</v>
      </c>
      <c r="AM61" s="24" t="s">
        <v>210</v>
      </c>
      <c r="AN61" s="24" t="s">
        <v>210</v>
      </c>
      <c r="AO61" s="24" t="s">
        <v>230</v>
      </c>
      <c r="AP61" s="24" t="s">
        <v>208</v>
      </c>
      <c r="AQ61" s="24">
        <v>4</v>
      </c>
      <c r="AR61" s="24">
        <v>4</v>
      </c>
      <c r="AS61" s="24" t="s">
        <v>177</v>
      </c>
      <c r="AW61" s="65"/>
      <c r="BD61" s="25"/>
      <c r="BE61" s="24">
        <v>1.6419999999999999</v>
      </c>
      <c r="BF61" s="24">
        <v>1.6059000000000001</v>
      </c>
      <c r="BH61" s="24">
        <f>13.681/10</f>
        <v>1.3680999999999999</v>
      </c>
      <c r="BI61" s="24">
        <f>17.3313/10</f>
        <v>1.7331299999999998</v>
      </c>
      <c r="DG61" s="24">
        <v>0.16930000000000001</v>
      </c>
      <c r="DH61" s="24">
        <v>0.18</v>
      </c>
      <c r="DS61" s="12"/>
      <c r="DU61" s="15"/>
      <c r="FA61" s="24" t="s">
        <v>857</v>
      </c>
      <c r="FC61" s="24">
        <v>4</v>
      </c>
    </row>
    <row r="62" spans="1:159" s="24" customFormat="1" x14ac:dyDescent="0.25">
      <c r="A62" s="24">
        <v>4</v>
      </c>
      <c r="B62" s="24" t="s">
        <v>191</v>
      </c>
      <c r="C62" s="24" t="s">
        <v>192</v>
      </c>
      <c r="D62" s="24">
        <v>2010</v>
      </c>
      <c r="E62" s="24">
        <f t="shared" si="1"/>
        <v>2002</v>
      </c>
      <c r="F62" s="24" t="s">
        <v>193</v>
      </c>
      <c r="G62" s="24" t="s">
        <v>194</v>
      </c>
      <c r="H62" s="24">
        <v>38.14</v>
      </c>
      <c r="I62" s="24">
        <v>-97.43</v>
      </c>
      <c r="J62" s="24">
        <v>450</v>
      </c>
      <c r="L62" s="24">
        <v>14.4</v>
      </c>
      <c r="N62" s="24">
        <v>874</v>
      </c>
      <c r="P62" s="55" t="s">
        <v>207</v>
      </c>
      <c r="Q62" s="55"/>
      <c r="R62" s="55"/>
      <c r="S62" s="55" t="s">
        <v>1646</v>
      </c>
      <c r="T62" s="55" t="s">
        <v>1647</v>
      </c>
      <c r="X62" s="24" t="s">
        <v>195</v>
      </c>
      <c r="AB62" s="24" t="s">
        <v>1546</v>
      </c>
      <c r="AC62" s="24" t="s">
        <v>205</v>
      </c>
      <c r="AD62" s="153" t="str">
        <f t="shared" si="0"/>
        <v>Legume</v>
      </c>
      <c r="AE62" s="24" t="s">
        <v>1642</v>
      </c>
      <c r="AG62" s="24" t="s">
        <v>204</v>
      </c>
      <c r="AH62" s="24" t="s">
        <v>204</v>
      </c>
      <c r="AI62" s="24" t="s">
        <v>230</v>
      </c>
      <c r="AJ62" s="24" t="s">
        <v>203</v>
      </c>
      <c r="AK62" s="24" t="s">
        <v>203</v>
      </c>
      <c r="AL62" s="24" t="s">
        <v>230</v>
      </c>
      <c r="AM62" s="24" t="s">
        <v>210</v>
      </c>
      <c r="AN62" s="24" t="s">
        <v>210</v>
      </c>
      <c r="AO62" s="24" t="s">
        <v>230</v>
      </c>
      <c r="AP62" s="24" t="s">
        <v>208</v>
      </c>
      <c r="AQ62" s="24">
        <v>4</v>
      </c>
      <c r="AR62" s="24">
        <v>4</v>
      </c>
      <c r="AS62" s="24" t="s">
        <v>177</v>
      </c>
      <c r="AW62" s="65"/>
      <c r="BD62" s="25"/>
      <c r="BE62" s="24">
        <v>1.7101999999999999</v>
      </c>
      <c r="BF62" s="24">
        <v>1.6938</v>
      </c>
      <c r="BH62" s="24">
        <f>10.3067/10</f>
        <v>1.03067</v>
      </c>
      <c r="BI62" s="24">
        <f>10.2147/10</f>
        <v>1.0214700000000001</v>
      </c>
      <c r="DG62" s="24">
        <v>0.16109999999999999</v>
      </c>
      <c r="DH62" s="24">
        <v>0.16189999999999999</v>
      </c>
      <c r="DS62" s="12"/>
      <c r="DU62" s="15"/>
      <c r="FA62" s="24" t="s">
        <v>857</v>
      </c>
      <c r="FC62" s="24">
        <v>4</v>
      </c>
    </row>
    <row r="63" spans="1:159" s="24" customFormat="1" x14ac:dyDescent="0.25">
      <c r="A63" s="24">
        <v>4</v>
      </c>
      <c r="B63" s="24" t="s">
        <v>191</v>
      </c>
      <c r="C63" s="24" t="s">
        <v>192</v>
      </c>
      <c r="D63" s="24">
        <v>2010</v>
      </c>
      <c r="E63" s="24">
        <f t="shared" si="1"/>
        <v>2002</v>
      </c>
      <c r="F63" s="24" t="s">
        <v>193</v>
      </c>
      <c r="G63" s="24" t="s">
        <v>194</v>
      </c>
      <c r="H63" s="24">
        <v>38.14</v>
      </c>
      <c r="I63" s="24">
        <v>-97.43</v>
      </c>
      <c r="J63" s="24">
        <v>450</v>
      </c>
      <c r="L63" s="24">
        <v>14.4</v>
      </c>
      <c r="N63" s="24">
        <v>874</v>
      </c>
      <c r="P63" s="55" t="s">
        <v>207</v>
      </c>
      <c r="Q63" s="55"/>
      <c r="R63" s="55"/>
      <c r="S63" s="55" t="s">
        <v>1645</v>
      </c>
      <c r="T63" s="55" t="s">
        <v>1647</v>
      </c>
      <c r="X63" s="24" t="s">
        <v>195</v>
      </c>
      <c r="AB63" s="24" t="s">
        <v>1546</v>
      </c>
      <c r="AC63" s="24" t="s">
        <v>206</v>
      </c>
      <c r="AD63" s="153" t="str">
        <f t="shared" si="0"/>
        <v>Grass</v>
      </c>
      <c r="AE63" s="24" t="s">
        <v>1642</v>
      </c>
      <c r="AG63" s="24" t="s">
        <v>204</v>
      </c>
      <c r="AH63" s="24" t="s">
        <v>204</v>
      </c>
      <c r="AI63" s="24" t="s">
        <v>230</v>
      </c>
      <c r="AJ63" s="24" t="s">
        <v>203</v>
      </c>
      <c r="AK63" s="24" t="s">
        <v>203</v>
      </c>
      <c r="AL63" s="24" t="s">
        <v>230</v>
      </c>
      <c r="AM63" s="24" t="s">
        <v>210</v>
      </c>
      <c r="AN63" s="24" t="s">
        <v>210</v>
      </c>
      <c r="AO63" s="24" t="s">
        <v>230</v>
      </c>
      <c r="AP63" s="24" t="s">
        <v>208</v>
      </c>
      <c r="AQ63" s="24">
        <v>4</v>
      </c>
      <c r="AR63" s="24">
        <v>4</v>
      </c>
      <c r="AS63" s="24" t="s">
        <v>177</v>
      </c>
      <c r="AW63" s="65"/>
      <c r="BD63" s="25"/>
      <c r="BE63" s="24">
        <v>1.6419999999999999</v>
      </c>
      <c r="BF63" s="24">
        <v>1.6193</v>
      </c>
      <c r="BH63" s="24">
        <f>13.681/10</f>
        <v>1.3680999999999999</v>
      </c>
      <c r="BI63" s="24">
        <f>17.3313/10</f>
        <v>1.7331299999999998</v>
      </c>
      <c r="DG63" s="24">
        <v>0.16930000000000001</v>
      </c>
      <c r="DH63" s="24">
        <v>0.1774</v>
      </c>
      <c r="DS63" s="12"/>
      <c r="DU63" s="15"/>
      <c r="FA63" s="24" t="s">
        <v>857</v>
      </c>
      <c r="FC63" s="24">
        <v>4</v>
      </c>
    </row>
    <row r="64" spans="1:159" s="24" customFormat="1" x14ac:dyDescent="0.25">
      <c r="A64" s="24">
        <v>4</v>
      </c>
      <c r="B64" s="24" t="s">
        <v>191</v>
      </c>
      <c r="C64" s="24" t="s">
        <v>192</v>
      </c>
      <c r="D64" s="24">
        <v>2010</v>
      </c>
      <c r="E64" s="24">
        <f t="shared" si="1"/>
        <v>2002</v>
      </c>
      <c r="F64" s="24" t="s">
        <v>193</v>
      </c>
      <c r="G64" s="24" t="s">
        <v>194</v>
      </c>
      <c r="H64" s="24">
        <v>38.14</v>
      </c>
      <c r="I64" s="24">
        <v>-97.43</v>
      </c>
      <c r="J64" s="24">
        <v>450</v>
      </c>
      <c r="L64" s="24">
        <v>14.4</v>
      </c>
      <c r="N64" s="24">
        <v>874</v>
      </c>
      <c r="P64" s="55" t="s">
        <v>207</v>
      </c>
      <c r="Q64" s="55"/>
      <c r="R64" s="55"/>
      <c r="S64" s="55" t="s">
        <v>1646</v>
      </c>
      <c r="T64" s="55" t="s">
        <v>1647</v>
      </c>
      <c r="X64" s="24" t="s">
        <v>195</v>
      </c>
      <c r="AB64" s="24" t="s">
        <v>1546</v>
      </c>
      <c r="AC64" s="24" t="s">
        <v>206</v>
      </c>
      <c r="AD64" s="153" t="str">
        <f t="shared" si="0"/>
        <v>Grass</v>
      </c>
      <c r="AE64" s="24" t="s">
        <v>1642</v>
      </c>
      <c r="AG64" s="24" t="s">
        <v>204</v>
      </c>
      <c r="AH64" s="24" t="s">
        <v>204</v>
      </c>
      <c r="AI64" s="24" t="s">
        <v>230</v>
      </c>
      <c r="AJ64" s="24" t="s">
        <v>203</v>
      </c>
      <c r="AK64" s="24" t="s">
        <v>203</v>
      </c>
      <c r="AL64" s="24" t="s">
        <v>230</v>
      </c>
      <c r="AM64" s="24" t="s">
        <v>210</v>
      </c>
      <c r="AN64" s="24" t="s">
        <v>210</v>
      </c>
      <c r="AO64" s="24" t="s">
        <v>230</v>
      </c>
      <c r="AP64" s="24" t="s">
        <v>208</v>
      </c>
      <c r="AQ64" s="24">
        <v>4</v>
      </c>
      <c r="AR64" s="24">
        <v>4</v>
      </c>
      <c r="AS64" s="24" t="s">
        <v>177</v>
      </c>
      <c r="AW64" s="65"/>
      <c r="BD64" s="25"/>
      <c r="BE64" s="24">
        <v>1.7101999999999999</v>
      </c>
      <c r="BF64" s="24">
        <v>1.6987000000000001</v>
      </c>
      <c r="BH64" s="24">
        <f>10.3067/10</f>
        <v>1.03067</v>
      </c>
      <c r="BI64" s="24">
        <f>10.2147/10</f>
        <v>1.0214700000000001</v>
      </c>
      <c r="DG64" s="24">
        <v>0.16109999999999999</v>
      </c>
      <c r="DH64" s="24">
        <v>0.1671</v>
      </c>
      <c r="DS64" s="12"/>
      <c r="DU64" s="15"/>
      <c r="FA64" s="24" t="s">
        <v>857</v>
      </c>
      <c r="FC64" s="24">
        <v>4</v>
      </c>
    </row>
    <row r="65" spans="1:159" s="26" customFormat="1" x14ac:dyDescent="0.25">
      <c r="A65" s="26">
        <v>5</v>
      </c>
      <c r="B65" s="26" t="s">
        <v>191</v>
      </c>
      <c r="C65" s="26" t="s">
        <v>192</v>
      </c>
      <c r="D65" s="26">
        <v>2013</v>
      </c>
      <c r="E65" s="26">
        <v>2011</v>
      </c>
      <c r="F65" s="26" t="s">
        <v>193</v>
      </c>
      <c r="G65" s="26" t="s">
        <v>215</v>
      </c>
      <c r="H65" s="26">
        <v>37.97</v>
      </c>
      <c r="I65" s="26">
        <v>-100.87</v>
      </c>
      <c r="J65" s="26">
        <v>865.6</v>
      </c>
      <c r="M65" s="26">
        <v>400</v>
      </c>
      <c r="N65" s="26">
        <v>489</v>
      </c>
      <c r="P65" s="52" t="s">
        <v>182</v>
      </c>
      <c r="Q65" s="52"/>
      <c r="R65" s="52"/>
      <c r="S65" s="52" t="s">
        <v>1645</v>
      </c>
      <c r="T65" s="52" t="s">
        <v>1645</v>
      </c>
      <c r="X65" s="26" t="s">
        <v>216</v>
      </c>
      <c r="AB65" s="26" t="s">
        <v>1547</v>
      </c>
      <c r="AC65" s="26" t="s">
        <v>1848</v>
      </c>
      <c r="AD65" s="153" t="str">
        <f t="shared" si="0"/>
        <v>Lentil_Winter</v>
      </c>
      <c r="AE65" s="26" t="s">
        <v>1636</v>
      </c>
      <c r="AG65" s="26" t="s">
        <v>743</v>
      </c>
      <c r="AH65" s="26" t="s">
        <v>743</v>
      </c>
      <c r="AI65" s="26" t="s">
        <v>230</v>
      </c>
      <c r="AP65" s="26" t="s">
        <v>154</v>
      </c>
      <c r="AQ65" s="26">
        <v>4</v>
      </c>
      <c r="AR65" s="26">
        <v>4</v>
      </c>
      <c r="AS65" s="26" t="s">
        <v>227</v>
      </c>
      <c r="AW65" s="63"/>
      <c r="BE65" s="26">
        <v>1.57</v>
      </c>
      <c r="BF65" s="26">
        <v>1.45</v>
      </c>
      <c r="BH65" s="26">
        <f>8.7/1000*100</f>
        <v>0.86999999999999988</v>
      </c>
      <c r="BI65" s="26">
        <v>0.91999999999999993</v>
      </c>
      <c r="BJ65" s="26" t="s">
        <v>739</v>
      </c>
      <c r="CF65" s="26">
        <f>0.5877*100</f>
        <v>58.77</v>
      </c>
      <c r="CG65" s="26">
        <f>0.4353*100</f>
        <v>43.53</v>
      </c>
      <c r="CH65" s="26" t="s">
        <v>972</v>
      </c>
      <c r="CU65" s="26">
        <v>1.5893999999999999</v>
      </c>
      <c r="CV65" s="26">
        <v>0.96489999999999998</v>
      </c>
      <c r="CW65" s="26" t="s">
        <v>222</v>
      </c>
      <c r="DS65" s="12"/>
      <c r="DU65" s="15"/>
      <c r="FA65" s="26" t="s">
        <v>858</v>
      </c>
      <c r="FC65" s="26">
        <v>5</v>
      </c>
    </row>
    <row r="66" spans="1:159" s="26" customFormat="1" x14ac:dyDescent="0.25">
      <c r="A66" s="26">
        <v>5</v>
      </c>
      <c r="B66" s="26" t="s">
        <v>191</v>
      </c>
      <c r="C66" s="26" t="s">
        <v>192</v>
      </c>
      <c r="D66" s="26">
        <v>2013</v>
      </c>
      <c r="E66" s="26">
        <v>2011</v>
      </c>
      <c r="F66" s="26" t="s">
        <v>193</v>
      </c>
      <c r="G66" s="26" t="s">
        <v>215</v>
      </c>
      <c r="H66" s="26">
        <v>37.97</v>
      </c>
      <c r="I66" s="26">
        <v>-100.87</v>
      </c>
      <c r="J66" s="26">
        <v>865.6</v>
      </c>
      <c r="M66" s="26">
        <v>400</v>
      </c>
      <c r="N66" s="26">
        <v>489</v>
      </c>
      <c r="P66" s="52" t="s">
        <v>182</v>
      </c>
      <c r="Q66" s="52"/>
      <c r="R66" s="52"/>
      <c r="S66" s="52" t="s">
        <v>1645</v>
      </c>
      <c r="T66" s="52" t="s">
        <v>1645</v>
      </c>
      <c r="X66" s="26" t="s">
        <v>216</v>
      </c>
      <c r="AB66" s="26" t="s">
        <v>1547</v>
      </c>
      <c r="AC66" s="26" t="s">
        <v>1852</v>
      </c>
      <c r="AD66" s="153" t="str">
        <f t="shared" si="0"/>
        <v>Pea_Spring</v>
      </c>
      <c r="AE66" s="26" t="s">
        <v>1636</v>
      </c>
      <c r="AG66" s="26" t="s">
        <v>743</v>
      </c>
      <c r="AH66" s="26" t="s">
        <v>743</v>
      </c>
      <c r="AI66" s="26" t="s">
        <v>230</v>
      </c>
      <c r="AP66" s="26" t="s">
        <v>154</v>
      </c>
      <c r="AQ66" s="26">
        <v>4</v>
      </c>
      <c r="AR66" s="26">
        <v>4</v>
      </c>
      <c r="AS66" s="26" t="s">
        <v>227</v>
      </c>
      <c r="AW66" s="63"/>
      <c r="BE66" s="26">
        <v>1.57</v>
      </c>
      <c r="BF66" s="26">
        <v>1.55</v>
      </c>
      <c r="BH66" s="26">
        <f t="shared" ref="BH66:BH72" si="3">8.7/1000*100</f>
        <v>0.86999999999999988</v>
      </c>
      <c r="BI66" s="26">
        <v>1.01</v>
      </c>
      <c r="BJ66" s="26" t="s">
        <v>739</v>
      </c>
      <c r="CF66" s="26">
        <f t="shared" ref="CF66:CF72" si="4">0.5877*100</f>
        <v>58.77</v>
      </c>
      <c r="CG66" s="26">
        <f>0.3374*100</f>
        <v>33.739999999999995</v>
      </c>
      <c r="CH66" s="26" t="s">
        <v>972</v>
      </c>
      <c r="CU66" s="26">
        <v>1.5893999999999999</v>
      </c>
      <c r="CV66" s="26">
        <v>0.50319999999999998</v>
      </c>
      <c r="CW66" s="26" t="s">
        <v>222</v>
      </c>
      <c r="DS66" s="12"/>
      <c r="DU66" s="15"/>
      <c r="FA66" s="26" t="s">
        <v>858</v>
      </c>
      <c r="FC66" s="26">
        <v>5</v>
      </c>
    </row>
    <row r="67" spans="1:159" s="26" customFormat="1" x14ac:dyDescent="0.25">
      <c r="A67" s="26">
        <v>5</v>
      </c>
      <c r="B67" s="26" t="s">
        <v>191</v>
      </c>
      <c r="C67" s="26" t="s">
        <v>192</v>
      </c>
      <c r="D67" s="26">
        <v>2013</v>
      </c>
      <c r="E67" s="26">
        <v>2011</v>
      </c>
      <c r="F67" s="26" t="s">
        <v>193</v>
      </c>
      <c r="G67" s="26" t="s">
        <v>215</v>
      </c>
      <c r="H67" s="26">
        <v>37.97</v>
      </c>
      <c r="I67" s="26">
        <v>-100.87</v>
      </c>
      <c r="J67" s="26">
        <v>865.6</v>
      </c>
      <c r="M67" s="26">
        <v>400</v>
      </c>
      <c r="N67" s="26">
        <v>489</v>
      </c>
      <c r="P67" s="52" t="s">
        <v>182</v>
      </c>
      <c r="Q67" s="52"/>
      <c r="R67" s="52"/>
      <c r="S67" s="52" t="s">
        <v>1645</v>
      </c>
      <c r="T67" s="52" t="s">
        <v>1645</v>
      </c>
      <c r="X67" s="26" t="s">
        <v>216</v>
      </c>
      <c r="AB67" s="26" t="s">
        <v>1547</v>
      </c>
      <c r="AC67" s="26" t="s">
        <v>1853</v>
      </c>
      <c r="AD67" s="153" t="str">
        <f t="shared" ref="AD67:AD130" si="5">IF(OR(AC67="*Rye",AC67="Rye*",AC67="Downy_brome"),"Rye",IF(OR(AC67="*Oat",AC67="Oat*",AC67="Trudan_8",AC67="*Wheat",AC67="Wheat*",AC67="Barley*",AC67="Hemp",AC67="Hemp",AC67="Triticale*",AC67="Grass",AC67="Millet"),"Grass",IF(OR(AC67="*clover",AC67="clover*",AC67="Vetch*",AC67="Vetch*",AC67="Alfalfa",AC67="Soybean",AC67="*Lentil",AC67="Lentil*",AC67="*Pea",AC67="Pea*",AC67="Lupine"),"Legume",AC67)))</f>
        <v>Lentil_Spring</v>
      </c>
      <c r="AE67" s="26" t="s">
        <v>1636</v>
      </c>
      <c r="AG67" s="26" t="s">
        <v>743</v>
      </c>
      <c r="AH67" s="26" t="s">
        <v>743</v>
      </c>
      <c r="AI67" s="26" t="s">
        <v>230</v>
      </c>
      <c r="AP67" s="26" t="s">
        <v>154</v>
      </c>
      <c r="AQ67" s="26">
        <v>4</v>
      </c>
      <c r="AR67" s="26">
        <v>4</v>
      </c>
      <c r="AS67" s="26" t="s">
        <v>227</v>
      </c>
      <c r="AW67" s="63"/>
      <c r="BE67" s="26">
        <v>1.57</v>
      </c>
      <c r="BF67" s="26">
        <v>1.49</v>
      </c>
      <c r="BH67" s="26">
        <f t="shared" si="3"/>
        <v>0.86999999999999988</v>
      </c>
      <c r="BI67" s="26">
        <v>1.08</v>
      </c>
      <c r="BJ67" s="26" t="s">
        <v>739</v>
      </c>
      <c r="CF67" s="26">
        <f t="shared" si="4"/>
        <v>58.77</v>
      </c>
      <c r="CG67" s="26">
        <f>0.423*100</f>
        <v>42.3</v>
      </c>
      <c r="CH67" s="26" t="s">
        <v>972</v>
      </c>
      <c r="DS67" s="12"/>
      <c r="DU67" s="15"/>
      <c r="FA67" s="26" t="s">
        <v>858</v>
      </c>
      <c r="FC67" s="26">
        <v>5</v>
      </c>
    </row>
    <row r="68" spans="1:159" s="26" customFormat="1" x14ac:dyDescent="0.25">
      <c r="A68" s="26">
        <v>5</v>
      </c>
      <c r="B68" s="26" t="s">
        <v>191</v>
      </c>
      <c r="C68" s="26" t="s">
        <v>192</v>
      </c>
      <c r="D68" s="26">
        <v>2013</v>
      </c>
      <c r="E68" s="26">
        <v>2011</v>
      </c>
      <c r="F68" s="26" t="s">
        <v>193</v>
      </c>
      <c r="G68" s="26" t="s">
        <v>215</v>
      </c>
      <c r="H68" s="26">
        <v>37.97</v>
      </c>
      <c r="I68" s="26">
        <v>-100.87</v>
      </c>
      <c r="J68" s="26">
        <v>865.6</v>
      </c>
      <c r="M68" s="26">
        <v>400</v>
      </c>
      <c r="N68" s="26">
        <v>489</v>
      </c>
      <c r="P68" s="52" t="s">
        <v>182</v>
      </c>
      <c r="Q68" s="52"/>
      <c r="R68" s="52"/>
      <c r="S68" s="52" t="s">
        <v>1645</v>
      </c>
      <c r="T68" s="52" t="s">
        <v>1645</v>
      </c>
      <c r="X68" s="26" t="s">
        <v>216</v>
      </c>
      <c r="AB68" s="26" t="s">
        <v>1547</v>
      </c>
      <c r="AC68" s="26" t="s">
        <v>1849</v>
      </c>
      <c r="AD68" s="153" t="str">
        <f t="shared" si="5"/>
        <v>Triticale_Winter</v>
      </c>
      <c r="AE68" s="26" t="s">
        <v>1636</v>
      </c>
      <c r="AG68" s="26" t="s">
        <v>743</v>
      </c>
      <c r="AH68" s="26" t="s">
        <v>743</v>
      </c>
      <c r="AI68" s="26" t="s">
        <v>230</v>
      </c>
      <c r="AP68" s="26" t="s">
        <v>154</v>
      </c>
      <c r="AQ68" s="26">
        <v>4</v>
      </c>
      <c r="AR68" s="26">
        <v>4</v>
      </c>
      <c r="AS68" s="26" t="s">
        <v>227</v>
      </c>
      <c r="AW68" s="63"/>
      <c r="BE68" s="26">
        <v>1.57</v>
      </c>
      <c r="BF68" s="26">
        <v>1.39</v>
      </c>
      <c r="BH68" s="26">
        <f t="shared" si="3"/>
        <v>0.86999999999999988</v>
      </c>
      <c r="BI68" s="26">
        <v>1.1400000000000001</v>
      </c>
      <c r="BJ68" s="26" t="s">
        <v>739</v>
      </c>
      <c r="CF68" s="26">
        <f t="shared" si="4"/>
        <v>58.77</v>
      </c>
      <c r="CG68" s="26">
        <f>0.3939*100</f>
        <v>39.39</v>
      </c>
      <c r="CH68" s="26" t="s">
        <v>972</v>
      </c>
      <c r="CU68" s="26">
        <v>1.5893999999999999</v>
      </c>
      <c r="CV68" s="26">
        <v>0.3256</v>
      </c>
      <c r="CW68" s="26" t="s">
        <v>222</v>
      </c>
      <c r="DS68" s="12"/>
      <c r="DU68" s="15"/>
      <c r="FA68" s="26" t="s">
        <v>858</v>
      </c>
      <c r="FC68" s="26">
        <v>5</v>
      </c>
    </row>
    <row r="69" spans="1:159" s="26" customFormat="1" x14ac:dyDescent="0.25">
      <c r="A69" s="26">
        <v>5</v>
      </c>
      <c r="B69" s="26" t="s">
        <v>191</v>
      </c>
      <c r="C69" s="26" t="s">
        <v>192</v>
      </c>
      <c r="D69" s="26">
        <v>2013</v>
      </c>
      <c r="E69" s="26">
        <v>2011</v>
      </c>
      <c r="F69" s="26" t="s">
        <v>193</v>
      </c>
      <c r="G69" s="26" t="s">
        <v>215</v>
      </c>
      <c r="H69" s="26">
        <v>37.97</v>
      </c>
      <c r="I69" s="26">
        <v>-100.87</v>
      </c>
      <c r="J69" s="26">
        <v>865.6</v>
      </c>
      <c r="M69" s="26">
        <v>400</v>
      </c>
      <c r="N69" s="26">
        <v>489</v>
      </c>
      <c r="P69" s="52" t="s">
        <v>182</v>
      </c>
      <c r="Q69" s="52"/>
      <c r="R69" s="52"/>
      <c r="S69" s="52" t="s">
        <v>1645</v>
      </c>
      <c r="T69" s="52" t="s">
        <v>1645</v>
      </c>
      <c r="X69" s="26" t="s">
        <v>216</v>
      </c>
      <c r="AB69" s="26" t="s">
        <v>1547</v>
      </c>
      <c r="AC69" s="26" t="s">
        <v>1856</v>
      </c>
      <c r="AD69" s="153" t="str">
        <f t="shared" si="5"/>
        <v>Triticale_Spring</v>
      </c>
      <c r="AE69" s="26" t="s">
        <v>1636</v>
      </c>
      <c r="AG69" s="26" t="s">
        <v>743</v>
      </c>
      <c r="AH69" s="26" t="s">
        <v>743</v>
      </c>
      <c r="AI69" s="26" t="s">
        <v>230</v>
      </c>
      <c r="AP69" s="26" t="s">
        <v>154</v>
      </c>
      <c r="AQ69" s="26">
        <v>4</v>
      </c>
      <c r="AR69" s="26">
        <v>4</v>
      </c>
      <c r="AS69" s="26" t="s">
        <v>227</v>
      </c>
      <c r="AW69" s="63"/>
      <c r="AX69" s="26" t="s">
        <v>217</v>
      </c>
      <c r="BE69" s="26">
        <v>1.57</v>
      </c>
      <c r="BF69" s="26">
        <v>1.46</v>
      </c>
      <c r="BH69" s="26">
        <f t="shared" si="3"/>
        <v>0.86999999999999988</v>
      </c>
      <c r="BI69" s="26">
        <v>0.94000000000000006</v>
      </c>
      <c r="BJ69" s="26" t="s">
        <v>739</v>
      </c>
      <c r="CF69" s="26">
        <f t="shared" si="4"/>
        <v>58.77</v>
      </c>
      <c r="CG69" s="26">
        <f>0.6318*100</f>
        <v>63.18</v>
      </c>
      <c r="CH69" s="26" t="s">
        <v>972</v>
      </c>
      <c r="CU69" s="26">
        <v>1.5893999999999999</v>
      </c>
      <c r="CV69" s="26">
        <v>0.61170000000000002</v>
      </c>
      <c r="CW69" s="26" t="s">
        <v>222</v>
      </c>
      <c r="DS69" s="12"/>
      <c r="DU69" s="15"/>
      <c r="FA69" s="26" t="s">
        <v>858</v>
      </c>
      <c r="FC69" s="26">
        <v>5</v>
      </c>
    </row>
    <row r="70" spans="1:159" s="26" customFormat="1" x14ac:dyDescent="0.25">
      <c r="A70" s="26">
        <v>5</v>
      </c>
      <c r="B70" s="26" t="s">
        <v>191</v>
      </c>
      <c r="C70" s="26" t="s">
        <v>192</v>
      </c>
      <c r="D70" s="26">
        <v>2013</v>
      </c>
      <c r="E70" s="26">
        <v>2011</v>
      </c>
      <c r="F70" s="26" t="s">
        <v>193</v>
      </c>
      <c r="G70" s="26" t="s">
        <v>215</v>
      </c>
      <c r="H70" s="26">
        <v>37.97</v>
      </c>
      <c r="I70" s="26">
        <v>-100.87</v>
      </c>
      <c r="J70" s="26">
        <v>865.6</v>
      </c>
      <c r="M70" s="26">
        <v>400</v>
      </c>
      <c r="N70" s="26">
        <v>489</v>
      </c>
      <c r="P70" s="52" t="s">
        <v>182</v>
      </c>
      <c r="Q70" s="52"/>
      <c r="R70" s="52"/>
      <c r="S70" s="52" t="s">
        <v>1645</v>
      </c>
      <c r="T70" s="52" t="s">
        <v>1645</v>
      </c>
      <c r="X70" s="26" t="s">
        <v>216</v>
      </c>
      <c r="AB70" s="26" t="s">
        <v>1547</v>
      </c>
      <c r="AC70" s="26" t="s">
        <v>1804</v>
      </c>
      <c r="AD70" s="153" t="str">
        <f t="shared" si="5"/>
        <v>Continus_wheat</v>
      </c>
      <c r="AE70" s="26" t="s">
        <v>1636</v>
      </c>
      <c r="AG70" s="26" t="s">
        <v>743</v>
      </c>
      <c r="AH70" s="26" t="s">
        <v>743</v>
      </c>
      <c r="AI70" s="26" t="s">
        <v>230</v>
      </c>
      <c r="AP70" s="26" t="s">
        <v>154</v>
      </c>
      <c r="AQ70" s="26">
        <v>4</v>
      </c>
      <c r="AR70" s="26">
        <v>4</v>
      </c>
      <c r="AS70" s="26" t="s">
        <v>227</v>
      </c>
      <c r="AW70" s="63"/>
      <c r="AX70" s="26" t="s">
        <v>218</v>
      </c>
      <c r="BE70" s="26">
        <v>1.57</v>
      </c>
      <c r="BF70" s="26">
        <v>1.44</v>
      </c>
      <c r="BH70" s="26">
        <f t="shared" si="3"/>
        <v>0.86999999999999988</v>
      </c>
      <c r="BI70" s="26">
        <v>1.1599999999999999</v>
      </c>
      <c r="BJ70" s="26" t="s">
        <v>739</v>
      </c>
      <c r="CF70" s="26">
        <f t="shared" si="4"/>
        <v>58.77</v>
      </c>
      <c r="CG70" s="26">
        <f>0.3878*100</f>
        <v>38.78</v>
      </c>
      <c r="CH70" s="26" t="s">
        <v>972</v>
      </c>
      <c r="DS70" s="12"/>
      <c r="DU70" s="15"/>
      <c r="FA70" s="26" t="s">
        <v>858</v>
      </c>
      <c r="FC70" s="26">
        <v>5</v>
      </c>
    </row>
    <row r="71" spans="1:159" s="26" customFormat="1" x14ac:dyDescent="0.25">
      <c r="A71" s="26">
        <v>5</v>
      </c>
      <c r="B71" s="26" t="s">
        <v>191</v>
      </c>
      <c r="C71" s="26" t="s">
        <v>192</v>
      </c>
      <c r="D71" s="26">
        <v>2013</v>
      </c>
      <c r="E71" s="26">
        <v>2011</v>
      </c>
      <c r="F71" s="26" t="s">
        <v>193</v>
      </c>
      <c r="G71" s="26" t="s">
        <v>215</v>
      </c>
      <c r="H71" s="26">
        <v>37.97</v>
      </c>
      <c r="I71" s="26">
        <v>-100.87</v>
      </c>
      <c r="J71" s="26">
        <v>865.6</v>
      </c>
      <c r="M71" s="26">
        <v>400</v>
      </c>
      <c r="N71" s="26">
        <v>489</v>
      </c>
      <c r="P71" s="52" t="s">
        <v>182</v>
      </c>
      <c r="Q71" s="52"/>
      <c r="R71" s="52"/>
      <c r="S71" s="52" t="s">
        <v>1645</v>
      </c>
      <c r="T71" s="52" t="s">
        <v>1645</v>
      </c>
      <c r="X71" s="26" t="s">
        <v>216</v>
      </c>
      <c r="AB71" s="26" t="s">
        <v>1547</v>
      </c>
      <c r="AC71" s="26" t="s">
        <v>1848</v>
      </c>
      <c r="AD71" s="153" t="str">
        <f t="shared" si="5"/>
        <v>Lentil_Winter</v>
      </c>
      <c r="AE71" s="26" t="s">
        <v>1636</v>
      </c>
      <c r="AG71" s="26" t="s">
        <v>743</v>
      </c>
      <c r="AH71" s="26" t="s">
        <v>743</v>
      </c>
      <c r="AI71" s="26" t="s">
        <v>230</v>
      </c>
      <c r="AP71" s="26" t="s">
        <v>154</v>
      </c>
      <c r="AQ71" s="26">
        <v>4</v>
      </c>
      <c r="AR71" s="26">
        <v>4</v>
      </c>
      <c r="AS71" s="26" t="s">
        <v>227</v>
      </c>
      <c r="AW71" s="63"/>
      <c r="AX71" s="26" t="s">
        <v>217</v>
      </c>
      <c r="BE71" s="26">
        <v>1.57</v>
      </c>
      <c r="BF71" s="26">
        <v>1.45</v>
      </c>
      <c r="BH71" s="26">
        <f t="shared" si="3"/>
        <v>0.86999999999999988</v>
      </c>
      <c r="BI71" s="26">
        <v>1.21</v>
      </c>
      <c r="BJ71" s="26" t="s">
        <v>739</v>
      </c>
      <c r="CF71" s="26">
        <f t="shared" si="4"/>
        <v>58.77</v>
      </c>
      <c r="CG71" s="26">
        <f>0.4163*100</f>
        <v>41.63</v>
      </c>
      <c r="CH71" s="26" t="s">
        <v>972</v>
      </c>
      <c r="DS71" s="12"/>
      <c r="DU71" s="15"/>
      <c r="FA71" s="26" t="s">
        <v>858</v>
      </c>
      <c r="FC71" s="26">
        <v>5</v>
      </c>
    </row>
    <row r="72" spans="1:159" s="26" customFormat="1" x14ac:dyDescent="0.25">
      <c r="A72" s="26">
        <v>5</v>
      </c>
      <c r="B72" s="26" t="s">
        <v>191</v>
      </c>
      <c r="C72" s="26" t="s">
        <v>192</v>
      </c>
      <c r="D72" s="26">
        <v>2013</v>
      </c>
      <c r="E72" s="26">
        <v>2011</v>
      </c>
      <c r="F72" s="26" t="s">
        <v>193</v>
      </c>
      <c r="G72" s="26" t="s">
        <v>215</v>
      </c>
      <c r="H72" s="26">
        <v>37.97</v>
      </c>
      <c r="I72" s="26">
        <v>-100.87</v>
      </c>
      <c r="J72" s="26">
        <v>865.6</v>
      </c>
      <c r="M72" s="26">
        <v>400</v>
      </c>
      <c r="N72" s="26">
        <v>489</v>
      </c>
      <c r="P72" s="52" t="s">
        <v>182</v>
      </c>
      <c r="Q72" s="52"/>
      <c r="R72" s="52"/>
      <c r="S72" s="52" t="s">
        <v>1645</v>
      </c>
      <c r="T72" s="52" t="s">
        <v>1645</v>
      </c>
      <c r="X72" s="26" t="s">
        <v>216</v>
      </c>
      <c r="AB72" s="26" t="s">
        <v>1547</v>
      </c>
      <c r="AC72" s="26" t="s">
        <v>1852</v>
      </c>
      <c r="AD72" s="153" t="str">
        <f t="shared" si="5"/>
        <v>Pea_Spring</v>
      </c>
      <c r="AE72" s="26" t="s">
        <v>1636</v>
      </c>
      <c r="AG72" s="26" t="s">
        <v>743</v>
      </c>
      <c r="AH72" s="26" t="s">
        <v>743</v>
      </c>
      <c r="AI72" s="26" t="s">
        <v>230</v>
      </c>
      <c r="AP72" s="26" t="s">
        <v>154</v>
      </c>
      <c r="AQ72" s="26">
        <v>4</v>
      </c>
      <c r="AR72" s="26">
        <v>4</v>
      </c>
      <c r="AS72" s="26" t="s">
        <v>227</v>
      </c>
      <c r="AW72" s="63"/>
      <c r="AX72" s="26" t="s">
        <v>218</v>
      </c>
      <c r="BE72" s="26">
        <v>1.57</v>
      </c>
      <c r="BF72" s="26">
        <v>1.45</v>
      </c>
      <c r="BH72" s="26">
        <f t="shared" si="3"/>
        <v>0.86999999999999988</v>
      </c>
      <c r="BI72" s="26">
        <v>1.3</v>
      </c>
      <c r="BJ72" s="26" t="s">
        <v>739</v>
      </c>
      <c r="CF72" s="26">
        <f t="shared" si="4"/>
        <v>58.77</v>
      </c>
      <c r="CG72" s="26">
        <f>0.2698*100</f>
        <v>26.979999999999997</v>
      </c>
      <c r="CH72" s="26" t="s">
        <v>972</v>
      </c>
      <c r="DS72" s="12"/>
      <c r="DU72" s="15"/>
      <c r="FA72" s="26" t="s">
        <v>858</v>
      </c>
      <c r="FC72" s="26">
        <v>5</v>
      </c>
    </row>
    <row r="73" spans="1:159" s="26" customFormat="1" x14ac:dyDescent="0.25">
      <c r="A73" s="26">
        <v>5</v>
      </c>
      <c r="B73" s="26" t="s">
        <v>191</v>
      </c>
      <c r="C73" s="26" t="s">
        <v>192</v>
      </c>
      <c r="D73" s="26">
        <v>2013</v>
      </c>
      <c r="E73" s="26">
        <v>2012</v>
      </c>
      <c r="F73" s="26" t="s">
        <v>193</v>
      </c>
      <c r="G73" s="26" t="s">
        <v>215</v>
      </c>
      <c r="H73" s="26">
        <v>37.97</v>
      </c>
      <c r="I73" s="26">
        <v>-100.87</v>
      </c>
      <c r="J73" s="26">
        <v>865.6</v>
      </c>
      <c r="M73" s="26">
        <v>308</v>
      </c>
      <c r="N73" s="26">
        <v>489</v>
      </c>
      <c r="P73" s="52" t="s">
        <v>183</v>
      </c>
      <c r="Q73" s="52"/>
      <c r="R73" s="52"/>
      <c r="S73" s="52" t="s">
        <v>1645</v>
      </c>
      <c r="T73" s="52" t="s">
        <v>1645</v>
      </c>
      <c r="X73" s="26" t="s">
        <v>216</v>
      </c>
      <c r="AB73" s="26" t="s">
        <v>1547</v>
      </c>
      <c r="AC73" s="26" t="s">
        <v>1848</v>
      </c>
      <c r="AD73" s="153" t="str">
        <f t="shared" si="5"/>
        <v>Lentil_Winter</v>
      </c>
      <c r="AE73" s="26" t="s">
        <v>1636</v>
      </c>
      <c r="AG73" s="26" t="s">
        <v>743</v>
      </c>
      <c r="AH73" s="26" t="s">
        <v>743</v>
      </c>
      <c r="AI73" s="26" t="s">
        <v>230</v>
      </c>
      <c r="AP73" s="26" t="s">
        <v>154</v>
      </c>
      <c r="AQ73" s="26">
        <v>4</v>
      </c>
      <c r="AR73" s="26">
        <v>4</v>
      </c>
      <c r="AS73" s="26" t="s">
        <v>227</v>
      </c>
      <c r="AW73" s="63"/>
      <c r="BE73" s="26">
        <v>1.49</v>
      </c>
      <c r="BF73" s="26">
        <v>1.4</v>
      </c>
      <c r="BH73" s="26">
        <f>8.8*100/1000</f>
        <v>0.88000000000000012</v>
      </c>
      <c r="BI73" s="26">
        <v>0.93</v>
      </c>
      <c r="BJ73" s="26" t="s">
        <v>739</v>
      </c>
      <c r="DS73" s="12"/>
      <c r="DU73" s="15"/>
      <c r="FA73" s="26" t="s">
        <v>858</v>
      </c>
      <c r="FC73" s="26">
        <v>5</v>
      </c>
    </row>
    <row r="74" spans="1:159" s="26" customFormat="1" x14ac:dyDescent="0.25">
      <c r="A74" s="26">
        <v>5</v>
      </c>
      <c r="B74" s="26" t="s">
        <v>191</v>
      </c>
      <c r="C74" s="26" t="s">
        <v>192</v>
      </c>
      <c r="D74" s="26">
        <v>2013</v>
      </c>
      <c r="E74" s="26">
        <v>2012</v>
      </c>
      <c r="F74" s="26" t="s">
        <v>193</v>
      </c>
      <c r="G74" s="26" t="s">
        <v>215</v>
      </c>
      <c r="H74" s="26">
        <v>37.97</v>
      </c>
      <c r="I74" s="26">
        <v>-100.87</v>
      </c>
      <c r="J74" s="26">
        <v>865.6</v>
      </c>
      <c r="M74" s="26">
        <v>308</v>
      </c>
      <c r="N74" s="26">
        <v>489</v>
      </c>
      <c r="P74" s="52" t="s">
        <v>183</v>
      </c>
      <c r="Q74" s="52"/>
      <c r="R74" s="52"/>
      <c r="S74" s="52" t="s">
        <v>1645</v>
      </c>
      <c r="T74" s="52" t="s">
        <v>1645</v>
      </c>
      <c r="X74" s="26" t="s">
        <v>216</v>
      </c>
      <c r="AB74" s="26" t="s">
        <v>1547</v>
      </c>
      <c r="AC74" s="26" t="s">
        <v>1852</v>
      </c>
      <c r="AD74" s="153" t="str">
        <f t="shared" si="5"/>
        <v>Pea_Spring</v>
      </c>
      <c r="AE74" s="26" t="s">
        <v>1636</v>
      </c>
      <c r="AG74" s="26" t="s">
        <v>743</v>
      </c>
      <c r="AH74" s="26" t="s">
        <v>743</v>
      </c>
      <c r="AI74" s="26" t="s">
        <v>230</v>
      </c>
      <c r="AP74" s="26" t="s">
        <v>154</v>
      </c>
      <c r="AQ74" s="26">
        <v>4</v>
      </c>
      <c r="AR74" s="26">
        <v>4</v>
      </c>
      <c r="AS74" s="26" t="s">
        <v>227</v>
      </c>
      <c r="AW74" s="63"/>
      <c r="BE74" s="26">
        <v>1.49</v>
      </c>
      <c r="BF74" s="26">
        <v>1.42</v>
      </c>
      <c r="BH74" s="26">
        <f t="shared" ref="BH74:BH80" si="6">8.8*100/1000</f>
        <v>0.88000000000000012</v>
      </c>
      <c r="BI74" s="26">
        <v>1.02</v>
      </c>
      <c r="BJ74" s="26" t="s">
        <v>739</v>
      </c>
      <c r="DS74" s="12"/>
      <c r="DU74" s="15"/>
      <c r="FA74" s="26" t="s">
        <v>858</v>
      </c>
      <c r="FC74" s="26">
        <v>5</v>
      </c>
    </row>
    <row r="75" spans="1:159" s="26" customFormat="1" x14ac:dyDescent="0.25">
      <c r="A75" s="26">
        <v>5</v>
      </c>
      <c r="B75" s="26" t="s">
        <v>191</v>
      </c>
      <c r="C75" s="26" t="s">
        <v>192</v>
      </c>
      <c r="D75" s="26">
        <v>2013</v>
      </c>
      <c r="E75" s="26">
        <v>2012</v>
      </c>
      <c r="F75" s="26" t="s">
        <v>193</v>
      </c>
      <c r="G75" s="26" t="s">
        <v>215</v>
      </c>
      <c r="H75" s="26">
        <v>37.97</v>
      </c>
      <c r="I75" s="26">
        <v>-100.87</v>
      </c>
      <c r="J75" s="26">
        <v>865.6</v>
      </c>
      <c r="M75" s="26">
        <v>308</v>
      </c>
      <c r="N75" s="26">
        <v>489</v>
      </c>
      <c r="P75" s="52" t="s">
        <v>183</v>
      </c>
      <c r="Q75" s="52"/>
      <c r="R75" s="52"/>
      <c r="S75" s="52" t="s">
        <v>1645</v>
      </c>
      <c r="T75" s="52" t="s">
        <v>1645</v>
      </c>
      <c r="X75" s="26" t="s">
        <v>216</v>
      </c>
      <c r="AB75" s="26" t="s">
        <v>1547</v>
      </c>
      <c r="AC75" s="26" t="s">
        <v>1853</v>
      </c>
      <c r="AD75" s="153" t="str">
        <f t="shared" si="5"/>
        <v>Lentil_Spring</v>
      </c>
      <c r="AE75" s="26" t="s">
        <v>1636</v>
      </c>
      <c r="AG75" s="26" t="s">
        <v>743</v>
      </c>
      <c r="AH75" s="26" t="s">
        <v>743</v>
      </c>
      <c r="AI75" s="26" t="s">
        <v>230</v>
      </c>
      <c r="AP75" s="26" t="s">
        <v>154</v>
      </c>
      <c r="AQ75" s="26">
        <v>4</v>
      </c>
      <c r="AR75" s="26">
        <v>4</v>
      </c>
      <c r="AS75" s="26" t="s">
        <v>227</v>
      </c>
      <c r="AW75" s="63"/>
      <c r="BE75" s="26">
        <v>1.49</v>
      </c>
      <c r="BF75" s="26">
        <v>1.48</v>
      </c>
      <c r="BH75" s="26">
        <f t="shared" si="6"/>
        <v>0.88000000000000012</v>
      </c>
      <c r="BI75" s="26">
        <v>1.08</v>
      </c>
      <c r="BJ75" s="26" t="s">
        <v>739</v>
      </c>
      <c r="DS75" s="12"/>
      <c r="DU75" s="15"/>
      <c r="FA75" s="26" t="s">
        <v>858</v>
      </c>
      <c r="FC75" s="26">
        <v>5</v>
      </c>
    </row>
    <row r="76" spans="1:159" s="26" customFormat="1" x14ac:dyDescent="0.25">
      <c r="A76" s="26">
        <v>5</v>
      </c>
      <c r="B76" s="26" t="s">
        <v>191</v>
      </c>
      <c r="C76" s="26" t="s">
        <v>192</v>
      </c>
      <c r="D76" s="26">
        <v>2013</v>
      </c>
      <c r="E76" s="26">
        <v>2012</v>
      </c>
      <c r="F76" s="26" t="s">
        <v>193</v>
      </c>
      <c r="G76" s="26" t="s">
        <v>215</v>
      </c>
      <c r="H76" s="26">
        <v>37.97</v>
      </c>
      <c r="I76" s="26">
        <v>-100.87</v>
      </c>
      <c r="J76" s="26">
        <v>865.6</v>
      </c>
      <c r="M76" s="26">
        <v>308</v>
      </c>
      <c r="N76" s="26">
        <v>489</v>
      </c>
      <c r="P76" s="52" t="s">
        <v>183</v>
      </c>
      <c r="Q76" s="52"/>
      <c r="R76" s="52"/>
      <c r="S76" s="52" t="s">
        <v>1645</v>
      </c>
      <c r="T76" s="52" t="s">
        <v>1645</v>
      </c>
      <c r="X76" s="26" t="s">
        <v>216</v>
      </c>
      <c r="AB76" s="26" t="s">
        <v>1547</v>
      </c>
      <c r="AC76" s="26" t="s">
        <v>1849</v>
      </c>
      <c r="AD76" s="153" t="str">
        <f t="shared" si="5"/>
        <v>Triticale_Winter</v>
      </c>
      <c r="AE76" s="26" t="s">
        <v>1636</v>
      </c>
      <c r="AG76" s="26" t="s">
        <v>743</v>
      </c>
      <c r="AH76" s="26" t="s">
        <v>743</v>
      </c>
      <c r="AI76" s="26" t="s">
        <v>230</v>
      </c>
      <c r="AP76" s="26" t="s">
        <v>154</v>
      </c>
      <c r="AQ76" s="26">
        <v>4</v>
      </c>
      <c r="AR76" s="26">
        <v>4</v>
      </c>
      <c r="AS76" s="26" t="s">
        <v>227</v>
      </c>
      <c r="AW76" s="63"/>
      <c r="BE76" s="26">
        <v>1.49</v>
      </c>
      <c r="BF76" s="26">
        <v>1.49</v>
      </c>
      <c r="BH76" s="26">
        <f t="shared" si="6"/>
        <v>0.88000000000000012</v>
      </c>
      <c r="BI76" s="26">
        <v>0.94000000000000006</v>
      </c>
      <c r="BJ76" s="26" t="s">
        <v>739</v>
      </c>
      <c r="DS76" s="12"/>
      <c r="DU76" s="15"/>
      <c r="FA76" s="26" t="s">
        <v>858</v>
      </c>
      <c r="FC76" s="26">
        <v>5</v>
      </c>
    </row>
    <row r="77" spans="1:159" s="26" customFormat="1" x14ac:dyDescent="0.25">
      <c r="A77" s="26">
        <v>5</v>
      </c>
      <c r="B77" s="26" t="s">
        <v>191</v>
      </c>
      <c r="C77" s="26" t="s">
        <v>192</v>
      </c>
      <c r="D77" s="26">
        <v>2013</v>
      </c>
      <c r="E77" s="26">
        <v>2012</v>
      </c>
      <c r="F77" s="26" t="s">
        <v>193</v>
      </c>
      <c r="G77" s="26" t="s">
        <v>215</v>
      </c>
      <c r="H77" s="26">
        <v>37.97</v>
      </c>
      <c r="I77" s="26">
        <v>-100.87</v>
      </c>
      <c r="J77" s="26">
        <v>865.6</v>
      </c>
      <c r="M77" s="26">
        <v>308</v>
      </c>
      <c r="N77" s="26">
        <v>489</v>
      </c>
      <c r="P77" s="52" t="s">
        <v>183</v>
      </c>
      <c r="Q77" s="52"/>
      <c r="R77" s="52"/>
      <c r="S77" s="52" t="s">
        <v>1645</v>
      </c>
      <c r="T77" s="52" t="s">
        <v>1645</v>
      </c>
      <c r="X77" s="26" t="s">
        <v>216</v>
      </c>
      <c r="AB77" s="26" t="s">
        <v>1547</v>
      </c>
      <c r="AC77" s="26" t="s">
        <v>1856</v>
      </c>
      <c r="AD77" s="153" t="str">
        <f t="shared" si="5"/>
        <v>Triticale_Spring</v>
      </c>
      <c r="AE77" s="26" t="s">
        <v>1636</v>
      </c>
      <c r="AG77" s="26" t="s">
        <v>743</v>
      </c>
      <c r="AH77" s="26" t="s">
        <v>743</v>
      </c>
      <c r="AI77" s="26" t="s">
        <v>230</v>
      </c>
      <c r="AP77" s="26" t="s">
        <v>154</v>
      </c>
      <c r="AQ77" s="26">
        <v>4</v>
      </c>
      <c r="AR77" s="26">
        <v>4</v>
      </c>
      <c r="AS77" s="26" t="s">
        <v>227</v>
      </c>
      <c r="AW77" s="63"/>
      <c r="AX77" s="26" t="s">
        <v>217</v>
      </c>
      <c r="BE77" s="26">
        <v>1.49</v>
      </c>
      <c r="BF77" s="26">
        <v>1.5</v>
      </c>
      <c r="BH77" s="26">
        <f t="shared" si="6"/>
        <v>0.88000000000000012</v>
      </c>
      <c r="BI77" s="26">
        <v>0.99</v>
      </c>
      <c r="BJ77" s="26" t="s">
        <v>739</v>
      </c>
      <c r="DS77" s="12"/>
      <c r="DU77" s="15"/>
      <c r="FA77" s="26" t="s">
        <v>858</v>
      </c>
      <c r="FC77" s="26">
        <v>5</v>
      </c>
    </row>
    <row r="78" spans="1:159" s="26" customFormat="1" x14ac:dyDescent="0.25">
      <c r="A78" s="26">
        <v>5</v>
      </c>
      <c r="B78" s="26" t="s">
        <v>191</v>
      </c>
      <c r="C78" s="26" t="s">
        <v>192</v>
      </c>
      <c r="D78" s="26">
        <v>2013</v>
      </c>
      <c r="E78" s="26">
        <v>2012</v>
      </c>
      <c r="F78" s="26" t="s">
        <v>193</v>
      </c>
      <c r="G78" s="26" t="s">
        <v>215</v>
      </c>
      <c r="H78" s="26">
        <v>37.97</v>
      </c>
      <c r="I78" s="26">
        <v>-100.87</v>
      </c>
      <c r="J78" s="26">
        <v>865.6</v>
      </c>
      <c r="M78" s="26">
        <v>308</v>
      </c>
      <c r="N78" s="26">
        <v>489</v>
      </c>
      <c r="P78" s="52" t="s">
        <v>183</v>
      </c>
      <c r="Q78" s="52"/>
      <c r="R78" s="52"/>
      <c r="S78" s="52" t="s">
        <v>1645</v>
      </c>
      <c r="T78" s="52" t="s">
        <v>1645</v>
      </c>
      <c r="X78" s="26" t="s">
        <v>216</v>
      </c>
      <c r="AB78" s="26" t="s">
        <v>1547</v>
      </c>
      <c r="AC78" s="26" t="s">
        <v>1804</v>
      </c>
      <c r="AD78" s="153" t="str">
        <f t="shared" si="5"/>
        <v>Continus_wheat</v>
      </c>
      <c r="AE78" s="26" t="s">
        <v>1636</v>
      </c>
      <c r="AG78" s="26" t="s">
        <v>743</v>
      </c>
      <c r="AH78" s="26" t="s">
        <v>743</v>
      </c>
      <c r="AI78" s="26" t="s">
        <v>230</v>
      </c>
      <c r="AP78" s="26" t="s">
        <v>154</v>
      </c>
      <c r="AQ78" s="26">
        <v>4</v>
      </c>
      <c r="AR78" s="26">
        <v>4</v>
      </c>
      <c r="AS78" s="26" t="s">
        <v>227</v>
      </c>
      <c r="AW78" s="63"/>
      <c r="AX78" s="26" t="s">
        <v>218</v>
      </c>
      <c r="BE78" s="26">
        <v>1.49</v>
      </c>
      <c r="BF78" s="26">
        <v>1.47</v>
      </c>
      <c r="BH78" s="26">
        <f t="shared" si="6"/>
        <v>0.88000000000000012</v>
      </c>
      <c r="BI78" s="26">
        <v>1.04</v>
      </c>
      <c r="BJ78" s="26" t="s">
        <v>739</v>
      </c>
      <c r="DS78" s="12"/>
      <c r="DU78" s="15"/>
      <c r="FA78" s="26" t="s">
        <v>858</v>
      </c>
      <c r="FC78" s="26">
        <v>5</v>
      </c>
    </row>
    <row r="79" spans="1:159" s="26" customFormat="1" x14ac:dyDescent="0.25">
      <c r="A79" s="26">
        <v>5</v>
      </c>
      <c r="B79" s="26" t="s">
        <v>191</v>
      </c>
      <c r="C79" s="26" t="s">
        <v>192</v>
      </c>
      <c r="D79" s="26">
        <v>2013</v>
      </c>
      <c r="E79" s="26">
        <v>2012</v>
      </c>
      <c r="F79" s="26" t="s">
        <v>193</v>
      </c>
      <c r="G79" s="26" t="s">
        <v>215</v>
      </c>
      <c r="H79" s="26">
        <v>37.97</v>
      </c>
      <c r="I79" s="26">
        <v>-100.87</v>
      </c>
      <c r="J79" s="26">
        <v>865.6</v>
      </c>
      <c r="M79" s="26">
        <v>308</v>
      </c>
      <c r="N79" s="26">
        <v>489</v>
      </c>
      <c r="P79" s="52" t="s">
        <v>183</v>
      </c>
      <c r="Q79" s="52"/>
      <c r="R79" s="52"/>
      <c r="S79" s="52" t="s">
        <v>1645</v>
      </c>
      <c r="T79" s="52" t="s">
        <v>1645</v>
      </c>
      <c r="X79" s="26" t="s">
        <v>216</v>
      </c>
      <c r="AB79" s="26" t="s">
        <v>1547</v>
      </c>
      <c r="AC79" s="26" t="s">
        <v>1848</v>
      </c>
      <c r="AD79" s="153" t="str">
        <f t="shared" si="5"/>
        <v>Lentil_Winter</v>
      </c>
      <c r="AE79" s="26" t="s">
        <v>1636</v>
      </c>
      <c r="AG79" s="26" t="s">
        <v>743</v>
      </c>
      <c r="AH79" s="26" t="s">
        <v>743</v>
      </c>
      <c r="AI79" s="26" t="s">
        <v>230</v>
      </c>
      <c r="AP79" s="26" t="s">
        <v>154</v>
      </c>
      <c r="AQ79" s="26">
        <v>4</v>
      </c>
      <c r="AR79" s="26">
        <v>4</v>
      </c>
      <c r="AS79" s="26" t="s">
        <v>227</v>
      </c>
      <c r="AW79" s="63"/>
      <c r="AX79" s="26" t="s">
        <v>217</v>
      </c>
      <c r="BE79" s="26">
        <v>1.49</v>
      </c>
      <c r="BF79" s="26">
        <v>1.4</v>
      </c>
      <c r="BH79" s="26">
        <f t="shared" si="6"/>
        <v>0.88000000000000012</v>
      </c>
      <c r="BI79" s="26">
        <v>0.99</v>
      </c>
      <c r="BJ79" s="26" t="s">
        <v>739</v>
      </c>
      <c r="DS79" s="12"/>
      <c r="DU79" s="15"/>
      <c r="FA79" s="26" t="s">
        <v>858</v>
      </c>
      <c r="FC79" s="26">
        <v>5</v>
      </c>
    </row>
    <row r="80" spans="1:159" s="26" customFormat="1" x14ac:dyDescent="0.25">
      <c r="A80" s="26">
        <v>5</v>
      </c>
      <c r="B80" s="26" t="s">
        <v>191</v>
      </c>
      <c r="C80" s="26" t="s">
        <v>192</v>
      </c>
      <c r="D80" s="26">
        <v>2013</v>
      </c>
      <c r="E80" s="26">
        <v>2012</v>
      </c>
      <c r="F80" s="26" t="s">
        <v>193</v>
      </c>
      <c r="G80" s="26" t="s">
        <v>215</v>
      </c>
      <c r="H80" s="26">
        <v>37.97</v>
      </c>
      <c r="I80" s="26">
        <v>-100.87</v>
      </c>
      <c r="J80" s="26">
        <v>865.6</v>
      </c>
      <c r="M80" s="26">
        <v>308</v>
      </c>
      <c r="N80" s="26">
        <v>489</v>
      </c>
      <c r="P80" s="52" t="s">
        <v>183</v>
      </c>
      <c r="Q80" s="52"/>
      <c r="R80" s="52"/>
      <c r="S80" s="52" t="s">
        <v>1645</v>
      </c>
      <c r="T80" s="52" t="s">
        <v>1645</v>
      </c>
      <c r="X80" s="26" t="s">
        <v>216</v>
      </c>
      <c r="AB80" s="26" t="s">
        <v>1547</v>
      </c>
      <c r="AC80" s="26" t="s">
        <v>1852</v>
      </c>
      <c r="AD80" s="153" t="str">
        <f t="shared" si="5"/>
        <v>Pea_Spring</v>
      </c>
      <c r="AE80" s="26" t="s">
        <v>1636</v>
      </c>
      <c r="AG80" s="26" t="s">
        <v>743</v>
      </c>
      <c r="AH80" s="26" t="s">
        <v>743</v>
      </c>
      <c r="AI80" s="26" t="s">
        <v>230</v>
      </c>
      <c r="AP80" s="26" t="s">
        <v>154</v>
      </c>
      <c r="AQ80" s="26">
        <v>4</v>
      </c>
      <c r="AR80" s="26">
        <v>4</v>
      </c>
      <c r="AS80" s="26" t="s">
        <v>227</v>
      </c>
      <c r="AW80" s="63"/>
      <c r="AX80" s="26" t="s">
        <v>218</v>
      </c>
      <c r="BE80" s="26">
        <v>1.49</v>
      </c>
      <c r="BF80" s="26">
        <v>1.4</v>
      </c>
      <c r="BH80" s="26">
        <f t="shared" si="6"/>
        <v>0.88000000000000012</v>
      </c>
      <c r="BI80" s="26">
        <v>1.06</v>
      </c>
      <c r="BJ80" s="26" t="s">
        <v>739</v>
      </c>
      <c r="DS80" s="12"/>
      <c r="DU80" s="15"/>
      <c r="FA80" s="26" t="s">
        <v>858</v>
      </c>
      <c r="FC80" s="26">
        <v>5</v>
      </c>
    </row>
    <row r="81" spans="1:159" s="23" customFormat="1" x14ac:dyDescent="0.25">
      <c r="A81" s="23">
        <v>6</v>
      </c>
      <c r="B81" s="23" t="s">
        <v>224</v>
      </c>
      <c r="C81" s="23" t="s">
        <v>225</v>
      </c>
      <c r="D81" s="23">
        <v>2016</v>
      </c>
      <c r="E81" s="23">
        <v>2012</v>
      </c>
      <c r="F81" s="23" t="s">
        <v>226</v>
      </c>
      <c r="H81" s="23">
        <v>35.380000000000003</v>
      </c>
      <c r="I81" s="23">
        <v>-77.989999999999995</v>
      </c>
      <c r="J81" s="23">
        <v>32.700000000000003</v>
      </c>
      <c r="P81" s="53" t="s">
        <v>179</v>
      </c>
      <c r="Q81" s="53"/>
      <c r="R81" s="53"/>
      <c r="S81" s="53" t="s">
        <v>1647</v>
      </c>
      <c r="T81" s="53" t="s">
        <v>1647</v>
      </c>
      <c r="V81" s="23">
        <f>(21.7+27.4)/2</f>
        <v>24.549999999999997</v>
      </c>
      <c r="W81" s="23">
        <f>(60+63.7)/2</f>
        <v>61.85</v>
      </c>
      <c r="X81" s="23" t="s">
        <v>228</v>
      </c>
      <c r="AB81" s="23" t="s">
        <v>1548</v>
      </c>
      <c r="AC81" s="23" t="s">
        <v>1805</v>
      </c>
      <c r="AD81" s="153" t="str">
        <f t="shared" si="5"/>
        <v>Crimson_clover</v>
      </c>
      <c r="AE81" s="23" t="s">
        <v>205</v>
      </c>
      <c r="AJ81" s="23" t="s">
        <v>229</v>
      </c>
      <c r="AK81" s="23" t="s">
        <v>229</v>
      </c>
      <c r="AL81" s="23" t="s">
        <v>230</v>
      </c>
      <c r="AP81" s="24" t="s">
        <v>208</v>
      </c>
      <c r="AQ81" s="23">
        <v>6</v>
      </c>
      <c r="AR81" s="23">
        <v>6</v>
      </c>
      <c r="AS81" s="23" t="s">
        <v>227</v>
      </c>
      <c r="AU81" s="23">
        <f>9.66*1000</f>
        <v>9660</v>
      </c>
      <c r="AW81" s="64"/>
      <c r="CF81" s="23">
        <v>5.0199999999999996</v>
      </c>
      <c r="CG81" s="23">
        <v>3.22</v>
      </c>
      <c r="CH81" s="23" t="s">
        <v>237</v>
      </c>
      <c r="DG81" s="23">
        <v>0.16159999999999999</v>
      </c>
      <c r="DH81" s="23">
        <v>0.1666</v>
      </c>
      <c r="DS81" s="12"/>
      <c r="DU81" s="15"/>
      <c r="DV81" s="23">
        <v>501.83</v>
      </c>
      <c r="DW81" s="23">
        <v>441.12</v>
      </c>
      <c r="DX81" s="23" t="s">
        <v>394</v>
      </c>
      <c r="EQ81" s="23">
        <v>329.48</v>
      </c>
      <c r="ER81" s="23">
        <v>341.32</v>
      </c>
      <c r="ES81" s="23" t="s">
        <v>392</v>
      </c>
      <c r="FC81" s="23">
        <v>6</v>
      </c>
    </row>
    <row r="82" spans="1:159" s="23" customFormat="1" x14ac:dyDescent="0.25">
      <c r="A82" s="23">
        <v>6</v>
      </c>
      <c r="B82" s="23" t="s">
        <v>224</v>
      </c>
      <c r="C82" s="23" t="s">
        <v>225</v>
      </c>
      <c r="D82" s="23">
        <v>2016</v>
      </c>
      <c r="E82" s="23">
        <v>2012</v>
      </c>
      <c r="F82" s="23" t="s">
        <v>226</v>
      </c>
      <c r="H82" s="23">
        <v>35.380000000000003</v>
      </c>
      <c r="I82" s="23">
        <v>-77.989999999999995</v>
      </c>
      <c r="J82" s="23">
        <v>32.700000000000003</v>
      </c>
      <c r="P82" s="53" t="s">
        <v>179</v>
      </c>
      <c r="Q82" s="53"/>
      <c r="R82" s="53"/>
      <c r="S82" s="53" t="s">
        <v>1647</v>
      </c>
      <c r="T82" s="53" t="s">
        <v>1647</v>
      </c>
      <c r="V82" s="23">
        <f>(21.7+27.4)/2</f>
        <v>24.549999999999997</v>
      </c>
      <c r="W82" s="23">
        <f>(60+63.7)/2</f>
        <v>61.85</v>
      </c>
      <c r="X82" s="23" t="s">
        <v>228</v>
      </c>
      <c r="AB82" s="23" t="s">
        <v>1548</v>
      </c>
      <c r="AC82" s="23" t="s">
        <v>301</v>
      </c>
      <c r="AD82" s="153" t="str">
        <f t="shared" si="5"/>
        <v>Vetch</v>
      </c>
      <c r="AE82" s="23" t="s">
        <v>205</v>
      </c>
      <c r="AJ82" s="23" t="s">
        <v>229</v>
      </c>
      <c r="AK82" s="23" t="s">
        <v>229</v>
      </c>
      <c r="AL82" s="23" t="s">
        <v>230</v>
      </c>
      <c r="AP82" s="24" t="s">
        <v>208</v>
      </c>
      <c r="AQ82" s="23">
        <v>6</v>
      </c>
      <c r="AR82" s="23">
        <v>6</v>
      </c>
      <c r="AS82" s="23" t="s">
        <v>227</v>
      </c>
      <c r="AU82" s="23">
        <f>8.83*1000</f>
        <v>8830</v>
      </c>
      <c r="AW82" s="64"/>
      <c r="CF82" s="23">
        <v>5.0199999999999996</v>
      </c>
      <c r="CG82" s="23">
        <v>3.64</v>
      </c>
      <c r="CH82" s="23" t="s">
        <v>237</v>
      </c>
      <c r="DG82" s="23">
        <v>0.1618</v>
      </c>
      <c r="DH82" s="23">
        <v>0.1472</v>
      </c>
      <c r="DS82" s="12"/>
      <c r="DU82" s="15"/>
      <c r="DV82" s="23">
        <v>501.83</v>
      </c>
      <c r="DW82" s="23">
        <v>477.97</v>
      </c>
      <c r="DX82" s="23" t="s">
        <v>394</v>
      </c>
      <c r="EQ82" s="23">
        <v>329.48</v>
      </c>
      <c r="ER82" s="23">
        <v>337.39</v>
      </c>
      <c r="ES82" s="23" t="s">
        <v>392</v>
      </c>
      <c r="FC82" s="23">
        <v>6</v>
      </c>
    </row>
    <row r="83" spans="1:159" s="23" customFormat="1" x14ac:dyDescent="0.25">
      <c r="A83" s="23">
        <v>6</v>
      </c>
      <c r="B83" s="23" t="s">
        <v>224</v>
      </c>
      <c r="C83" s="23" t="s">
        <v>225</v>
      </c>
      <c r="D83" s="23">
        <v>2016</v>
      </c>
      <c r="E83" s="23">
        <v>2013</v>
      </c>
      <c r="F83" s="23" t="s">
        <v>226</v>
      </c>
      <c r="H83" s="23">
        <v>35.380000000000003</v>
      </c>
      <c r="I83" s="23">
        <v>-77.989999999999995</v>
      </c>
      <c r="J83" s="23">
        <v>32.700000000000003</v>
      </c>
      <c r="P83" s="53" t="s">
        <v>180</v>
      </c>
      <c r="Q83" s="53"/>
      <c r="R83" s="53"/>
      <c r="S83" s="53" t="s">
        <v>1647</v>
      </c>
      <c r="T83" s="53" t="s">
        <v>1647</v>
      </c>
      <c r="V83" s="23">
        <f>(21.7+27.4)/2</f>
        <v>24.549999999999997</v>
      </c>
      <c r="W83" s="23">
        <f>(60+63.7)/2</f>
        <v>61.85</v>
      </c>
      <c r="X83" s="23" t="s">
        <v>228</v>
      </c>
      <c r="AB83" s="23" t="s">
        <v>1548</v>
      </c>
      <c r="AC83" s="23" t="s">
        <v>1805</v>
      </c>
      <c r="AD83" s="153" t="str">
        <f t="shared" si="5"/>
        <v>Crimson_clover</v>
      </c>
      <c r="AE83" s="23" t="s">
        <v>205</v>
      </c>
      <c r="AJ83" s="23" t="s">
        <v>229</v>
      </c>
      <c r="AK83" s="23" t="s">
        <v>229</v>
      </c>
      <c r="AL83" s="23" t="s">
        <v>230</v>
      </c>
      <c r="AP83" s="24" t="s">
        <v>208</v>
      </c>
      <c r="AQ83" s="23">
        <v>6</v>
      </c>
      <c r="AR83" s="23">
        <v>6</v>
      </c>
      <c r="AS83" s="23" t="s">
        <v>227</v>
      </c>
      <c r="AU83" s="23">
        <f>4.42*1000</f>
        <v>4420</v>
      </c>
      <c r="AW83" s="64"/>
      <c r="CF83" s="23">
        <v>2.99</v>
      </c>
      <c r="CG83" s="23">
        <v>2.33</v>
      </c>
      <c r="CH83" s="23" t="s">
        <v>237</v>
      </c>
      <c r="DG83" s="23">
        <v>0.1163</v>
      </c>
      <c r="DH83" s="23">
        <v>0.1176</v>
      </c>
      <c r="DS83" s="12"/>
      <c r="DU83" s="15"/>
      <c r="DV83" s="23">
        <v>501.83</v>
      </c>
      <c r="DW83" s="23">
        <v>441.12</v>
      </c>
      <c r="DX83" s="23" t="s">
        <v>394</v>
      </c>
      <c r="EQ83" s="23">
        <v>329.48</v>
      </c>
      <c r="ER83" s="23">
        <v>341.32</v>
      </c>
      <c r="ES83" s="23" t="s">
        <v>392</v>
      </c>
      <c r="FC83" s="23">
        <v>6</v>
      </c>
    </row>
    <row r="84" spans="1:159" s="23" customFormat="1" x14ac:dyDescent="0.25">
      <c r="A84" s="23">
        <v>6</v>
      </c>
      <c r="B84" s="23" t="s">
        <v>224</v>
      </c>
      <c r="C84" s="23" t="s">
        <v>225</v>
      </c>
      <c r="D84" s="23">
        <v>2016</v>
      </c>
      <c r="E84" s="23">
        <v>2013</v>
      </c>
      <c r="F84" s="23" t="s">
        <v>226</v>
      </c>
      <c r="H84" s="23">
        <v>35.380000000000003</v>
      </c>
      <c r="I84" s="23">
        <v>-77.989999999999995</v>
      </c>
      <c r="J84" s="23">
        <v>32.700000000000003</v>
      </c>
      <c r="P84" s="53" t="s">
        <v>180</v>
      </c>
      <c r="Q84" s="53"/>
      <c r="R84" s="53"/>
      <c r="S84" s="53" t="s">
        <v>1647</v>
      </c>
      <c r="T84" s="53" t="s">
        <v>1647</v>
      </c>
      <c r="V84" s="23">
        <f>(21.7+27.4)/2</f>
        <v>24.549999999999997</v>
      </c>
      <c r="W84" s="23">
        <f>(60+63.7)/2</f>
        <v>61.85</v>
      </c>
      <c r="X84" s="23" t="s">
        <v>228</v>
      </c>
      <c r="AB84" s="23" t="s">
        <v>1548</v>
      </c>
      <c r="AC84" s="23" t="s">
        <v>301</v>
      </c>
      <c r="AD84" s="153" t="str">
        <f t="shared" si="5"/>
        <v>Vetch</v>
      </c>
      <c r="AE84" s="23" t="s">
        <v>205</v>
      </c>
      <c r="AJ84" s="23" t="s">
        <v>229</v>
      </c>
      <c r="AK84" s="23" t="s">
        <v>229</v>
      </c>
      <c r="AL84" s="23" t="s">
        <v>230</v>
      </c>
      <c r="AP84" s="24" t="s">
        <v>208</v>
      </c>
      <c r="AQ84" s="23">
        <v>6</v>
      </c>
      <c r="AR84" s="23">
        <v>6</v>
      </c>
      <c r="AS84" s="23" t="s">
        <v>227</v>
      </c>
      <c r="AU84" s="23">
        <f>5.46*1000</f>
        <v>5460</v>
      </c>
      <c r="AW84" s="64"/>
      <c r="CF84" s="23">
        <v>2.99</v>
      </c>
      <c r="CG84" s="23">
        <v>3.17</v>
      </c>
      <c r="CH84" s="23" t="s">
        <v>237</v>
      </c>
      <c r="DG84" s="23">
        <v>0.1163</v>
      </c>
      <c r="DH84" s="23">
        <v>0.12620000000000001</v>
      </c>
      <c r="DS84" s="12"/>
      <c r="DU84" s="15"/>
      <c r="DV84" s="23">
        <v>501.83</v>
      </c>
      <c r="DW84" s="23">
        <v>447.97</v>
      </c>
      <c r="DX84" s="23" t="s">
        <v>394</v>
      </c>
      <c r="EQ84" s="23">
        <v>329.48</v>
      </c>
      <c r="ER84" s="23">
        <v>337.39</v>
      </c>
      <c r="ES84" s="23" t="s">
        <v>392</v>
      </c>
      <c r="FC84" s="23">
        <v>6</v>
      </c>
    </row>
    <row r="85" spans="1:159" s="26" customFormat="1" x14ac:dyDescent="0.25">
      <c r="A85" s="26">
        <v>7</v>
      </c>
      <c r="B85" s="26" t="s">
        <v>240</v>
      </c>
      <c r="C85" s="26" t="s">
        <v>241</v>
      </c>
      <c r="D85" s="26">
        <v>1999</v>
      </c>
      <c r="E85" s="26">
        <v>1995</v>
      </c>
      <c r="F85" s="26" t="s">
        <v>162</v>
      </c>
      <c r="G85" s="26" t="s">
        <v>242</v>
      </c>
      <c r="H85" s="26">
        <v>45.23</v>
      </c>
      <c r="I85" s="26">
        <v>-122.76</v>
      </c>
      <c r="J85" s="26">
        <v>48.4</v>
      </c>
      <c r="N85" s="26">
        <v>1040</v>
      </c>
      <c r="O85" s="26" t="s">
        <v>169</v>
      </c>
      <c r="P85" s="52" t="s">
        <v>180</v>
      </c>
      <c r="Q85" s="52"/>
      <c r="R85" s="52"/>
      <c r="S85" s="52" t="s">
        <v>1644</v>
      </c>
      <c r="T85" s="52" t="s">
        <v>1682</v>
      </c>
      <c r="V85" s="26">
        <f>313/(313+540+147)*100</f>
        <v>31.3</v>
      </c>
      <c r="W85" s="26">
        <f>540/(313+540+147)*100</f>
        <v>54</v>
      </c>
      <c r="X85" s="26" t="s">
        <v>216</v>
      </c>
      <c r="Y85" s="26">
        <v>6.3</v>
      </c>
      <c r="Z85" s="26">
        <f>18/1000*100</f>
        <v>1.7999999999999998</v>
      </c>
      <c r="AA85" s="26">
        <v>60</v>
      </c>
      <c r="AB85" s="26" t="s">
        <v>1543</v>
      </c>
      <c r="AC85" s="26" t="s">
        <v>166</v>
      </c>
      <c r="AD85" s="153" t="str">
        <f t="shared" si="5"/>
        <v>Rye</v>
      </c>
      <c r="AE85" s="26" t="s">
        <v>1630</v>
      </c>
      <c r="AG85" s="26" t="s">
        <v>259</v>
      </c>
      <c r="AH85" s="26" t="s">
        <v>259</v>
      </c>
      <c r="AI85" s="26" t="s">
        <v>230</v>
      </c>
      <c r="AP85" s="26" t="s">
        <v>154</v>
      </c>
      <c r="AQ85" s="26">
        <v>4</v>
      </c>
      <c r="AR85" s="26">
        <v>4</v>
      </c>
      <c r="AS85" s="26" t="s">
        <v>177</v>
      </c>
      <c r="AW85" s="63"/>
      <c r="DS85" s="12"/>
      <c r="DU85" s="15"/>
      <c r="EH85" s="26">
        <f>970/22.7273</f>
        <v>42.679948784061459</v>
      </c>
      <c r="EI85" s="26">
        <f>610/22.7273</f>
        <v>26.839967792038649</v>
      </c>
      <c r="EJ85" s="26">
        <f>400/22.7273</f>
        <v>17.599978880025343</v>
      </c>
      <c r="EQ85" s="26">
        <v>140</v>
      </c>
      <c r="ER85" s="26">
        <v>204</v>
      </c>
      <c r="ES85" s="26">
        <v>58</v>
      </c>
      <c r="FC85" s="26">
        <v>7</v>
      </c>
    </row>
    <row r="86" spans="1:159" s="26" customFormat="1" x14ac:dyDescent="0.25">
      <c r="A86" s="26">
        <v>7</v>
      </c>
      <c r="B86" s="26" t="s">
        <v>240</v>
      </c>
      <c r="C86" s="26" t="s">
        <v>241</v>
      </c>
      <c r="D86" s="26">
        <v>1999</v>
      </c>
      <c r="E86" s="26">
        <v>1995</v>
      </c>
      <c r="F86" s="26" t="s">
        <v>162</v>
      </c>
      <c r="G86" s="26" t="s">
        <v>242</v>
      </c>
      <c r="H86" s="26">
        <v>45.23</v>
      </c>
      <c r="I86" s="26">
        <v>-122.76</v>
      </c>
      <c r="J86" s="26">
        <v>48.4</v>
      </c>
      <c r="N86" s="26">
        <v>1040</v>
      </c>
      <c r="O86" s="26" t="s">
        <v>169</v>
      </c>
      <c r="P86" s="52" t="s">
        <v>180</v>
      </c>
      <c r="Q86" s="52"/>
      <c r="R86" s="52"/>
      <c r="S86" s="52" t="s">
        <v>1648</v>
      </c>
      <c r="T86" s="52" t="s">
        <v>1682</v>
      </c>
      <c r="V86" s="26">
        <f>313/(313+540+147)*100</f>
        <v>31.3</v>
      </c>
      <c r="W86" s="26">
        <f>540/(313+540+147)*100</f>
        <v>54</v>
      </c>
      <c r="X86" s="26" t="s">
        <v>216</v>
      </c>
      <c r="Z86" s="26">
        <f>18/1000*100</f>
        <v>1.7999999999999998</v>
      </c>
      <c r="AB86" s="26" t="s">
        <v>1543</v>
      </c>
      <c r="AC86" s="26" t="s">
        <v>166</v>
      </c>
      <c r="AD86" s="153" t="str">
        <f t="shared" si="5"/>
        <v>Rye</v>
      </c>
      <c r="AE86" s="26" t="s">
        <v>1630</v>
      </c>
      <c r="AG86" s="26" t="s">
        <v>259</v>
      </c>
      <c r="AH86" s="26" t="s">
        <v>259</v>
      </c>
      <c r="AI86" s="26" t="s">
        <v>230</v>
      </c>
      <c r="AP86" s="26" t="s">
        <v>154</v>
      </c>
      <c r="AQ86" s="26">
        <v>4</v>
      </c>
      <c r="AR86" s="26">
        <v>4</v>
      </c>
      <c r="AS86" s="26" t="s">
        <v>177</v>
      </c>
      <c r="AW86" s="63"/>
      <c r="DS86" s="12"/>
      <c r="DU86" s="15"/>
      <c r="EH86" s="26">
        <f>276/22.7273</f>
        <v>12.143985427217487</v>
      </c>
      <c r="EI86" s="26">
        <f>260/22.7273</f>
        <v>11.439986272016474</v>
      </c>
      <c r="EJ86" s="26">
        <f>116/22.7273</f>
        <v>5.1039938752073502</v>
      </c>
      <c r="EQ86" s="26">
        <v>148</v>
      </c>
      <c r="ER86" s="26">
        <v>135</v>
      </c>
      <c r="ES86" s="26">
        <v>62</v>
      </c>
      <c r="FC86" s="26">
        <v>7</v>
      </c>
    </row>
    <row r="87" spans="1:159" s="26" customFormat="1" x14ac:dyDescent="0.25">
      <c r="A87" s="26">
        <v>7</v>
      </c>
      <c r="B87" s="26" t="s">
        <v>240</v>
      </c>
      <c r="C87" s="26" t="s">
        <v>241</v>
      </c>
      <c r="D87" s="26">
        <v>1999</v>
      </c>
      <c r="E87" s="26">
        <v>1995</v>
      </c>
      <c r="F87" s="26" t="s">
        <v>162</v>
      </c>
      <c r="G87" s="26" t="s">
        <v>242</v>
      </c>
      <c r="H87" s="26">
        <v>45.23</v>
      </c>
      <c r="I87" s="26">
        <v>-122.76</v>
      </c>
      <c r="J87" s="26">
        <v>48.4</v>
      </c>
      <c r="N87" s="26">
        <v>1040</v>
      </c>
      <c r="O87" s="26" t="s">
        <v>169</v>
      </c>
      <c r="P87" s="52" t="s">
        <v>180</v>
      </c>
      <c r="Q87" s="52"/>
      <c r="R87" s="52"/>
      <c r="S87" s="52" t="s">
        <v>1649</v>
      </c>
      <c r="T87" s="52" t="s">
        <v>1682</v>
      </c>
      <c r="V87" s="26">
        <f>313/(313+540+147)*100</f>
        <v>31.3</v>
      </c>
      <c r="W87" s="26">
        <f>540/(313+540+147)*100</f>
        <v>54</v>
      </c>
      <c r="X87" s="26" t="s">
        <v>216</v>
      </c>
      <c r="Y87" s="26">
        <v>6.3</v>
      </c>
      <c r="Z87" s="26">
        <f>9.4/1000*100</f>
        <v>0.94000000000000006</v>
      </c>
      <c r="AA87" s="26">
        <v>7</v>
      </c>
      <c r="AB87" s="26" t="s">
        <v>1543</v>
      </c>
      <c r="AC87" s="26" t="s">
        <v>166</v>
      </c>
      <c r="AD87" s="153" t="str">
        <f t="shared" si="5"/>
        <v>Rye</v>
      </c>
      <c r="AE87" s="26" t="s">
        <v>1630</v>
      </c>
      <c r="AG87" s="26" t="s">
        <v>259</v>
      </c>
      <c r="AH87" s="26" t="s">
        <v>259</v>
      </c>
      <c r="AI87" s="26" t="s">
        <v>230</v>
      </c>
      <c r="AP87" s="26" t="s">
        <v>154</v>
      </c>
      <c r="AQ87" s="26">
        <v>4</v>
      </c>
      <c r="AR87" s="26">
        <v>4</v>
      </c>
      <c r="AS87" s="26" t="s">
        <v>177</v>
      </c>
      <c r="AW87" s="63"/>
      <c r="DS87" s="12"/>
      <c r="DU87" s="15"/>
      <c r="EH87" s="26">
        <f>352/22.7273</f>
        <v>15.487981414422302</v>
      </c>
      <c r="EI87" s="26">
        <f>90/22.7273</f>
        <v>3.9599952480057024</v>
      </c>
      <c r="EJ87" s="26">
        <f>144/22.7273</f>
        <v>6.3359923968091243</v>
      </c>
      <c r="EQ87" s="26">
        <v>86</v>
      </c>
      <c r="ER87" s="26">
        <v>45</v>
      </c>
      <c r="ES87" s="26">
        <v>35</v>
      </c>
      <c r="FC87" s="26">
        <v>7</v>
      </c>
    </row>
    <row r="88" spans="1:159" s="26" customFormat="1" x14ac:dyDescent="0.25">
      <c r="A88" s="26">
        <v>7</v>
      </c>
      <c r="B88" s="26" t="s">
        <v>240</v>
      </c>
      <c r="C88" s="26" t="s">
        <v>241</v>
      </c>
      <c r="D88" s="26">
        <v>1999</v>
      </c>
      <c r="E88" s="26">
        <v>1995</v>
      </c>
      <c r="F88" s="26" t="s">
        <v>162</v>
      </c>
      <c r="G88" s="26" t="s">
        <v>242</v>
      </c>
      <c r="H88" s="26">
        <v>45.23</v>
      </c>
      <c r="I88" s="26">
        <v>-122.76</v>
      </c>
      <c r="J88" s="26">
        <v>48.4</v>
      </c>
      <c r="N88" s="26">
        <v>1040</v>
      </c>
      <c r="O88" s="26" t="s">
        <v>169</v>
      </c>
      <c r="P88" s="52" t="s">
        <v>180</v>
      </c>
      <c r="Q88" s="52"/>
      <c r="R88" s="52"/>
      <c r="S88" s="52" t="s">
        <v>1650</v>
      </c>
      <c r="T88" s="52" t="s">
        <v>1682</v>
      </c>
      <c r="V88" s="26">
        <f>313/(313+540+147)*100</f>
        <v>31.3</v>
      </c>
      <c r="W88" s="26">
        <f>540/(313+540+147)*100</f>
        <v>54</v>
      </c>
      <c r="X88" s="26" t="s">
        <v>216</v>
      </c>
      <c r="Z88" s="26">
        <f>6.5/1000*100</f>
        <v>0.65</v>
      </c>
      <c r="AB88" s="26" t="s">
        <v>1543</v>
      </c>
      <c r="AC88" s="26" t="s">
        <v>166</v>
      </c>
      <c r="AD88" s="153" t="str">
        <f t="shared" si="5"/>
        <v>Rye</v>
      </c>
      <c r="AE88" s="26" t="s">
        <v>1630</v>
      </c>
      <c r="AG88" s="26" t="s">
        <v>259</v>
      </c>
      <c r="AH88" s="26" t="s">
        <v>259</v>
      </c>
      <c r="AI88" s="26" t="s">
        <v>230</v>
      </c>
      <c r="AP88" s="26" t="s">
        <v>154</v>
      </c>
      <c r="AQ88" s="26">
        <v>4</v>
      </c>
      <c r="AR88" s="26">
        <v>4</v>
      </c>
      <c r="AS88" s="26" t="s">
        <v>177</v>
      </c>
      <c r="AW88" s="63"/>
      <c r="DS88" s="12"/>
      <c r="DU88" s="15"/>
      <c r="EH88" s="26">
        <f>60/22.7273</f>
        <v>2.6399968320038014</v>
      </c>
      <c r="EI88" s="26">
        <f>150/22.7273</f>
        <v>6.5999920800095042</v>
      </c>
      <c r="EJ88" s="26">
        <f>26/22.7273</f>
        <v>1.1439986272016474</v>
      </c>
      <c r="EQ88" s="26">
        <v>28</v>
      </c>
      <c r="ER88" s="26">
        <v>29</v>
      </c>
      <c r="ES88" s="26">
        <v>12</v>
      </c>
      <c r="FC88" s="26">
        <v>7</v>
      </c>
    </row>
    <row r="89" spans="1:159" s="26" customFormat="1" x14ac:dyDescent="0.25">
      <c r="A89" s="26">
        <v>7</v>
      </c>
      <c r="B89" s="26" t="s">
        <v>240</v>
      </c>
      <c r="C89" s="26" t="s">
        <v>241</v>
      </c>
      <c r="D89" s="26">
        <v>1999</v>
      </c>
      <c r="E89" s="26">
        <v>1995</v>
      </c>
      <c r="F89" s="26" t="s">
        <v>162</v>
      </c>
      <c r="G89" s="26" t="s">
        <v>242</v>
      </c>
      <c r="H89" s="26">
        <v>45.23</v>
      </c>
      <c r="I89" s="26">
        <v>-122.76</v>
      </c>
      <c r="J89" s="26">
        <v>48.4</v>
      </c>
      <c r="N89" s="26">
        <v>1040</v>
      </c>
      <c r="O89" s="26" t="s">
        <v>169</v>
      </c>
      <c r="P89" s="52" t="s">
        <v>180</v>
      </c>
      <c r="Q89" s="52"/>
      <c r="R89" s="52"/>
      <c r="S89" s="52" t="s">
        <v>1651</v>
      </c>
      <c r="T89" s="52" t="s">
        <v>1682</v>
      </c>
      <c r="V89" s="26">
        <f>313/(313+540+147)*100</f>
        <v>31.3</v>
      </c>
      <c r="W89" s="26">
        <f>540/(313+540+147)*100</f>
        <v>54</v>
      </c>
      <c r="X89" s="26" t="s">
        <v>216</v>
      </c>
      <c r="Y89" s="26">
        <v>6.2</v>
      </c>
      <c r="Z89" s="26">
        <f>4.7/1000*100</f>
        <v>0.47000000000000003</v>
      </c>
      <c r="AA89" s="26">
        <v>0.7</v>
      </c>
      <c r="AB89" s="26" t="s">
        <v>1543</v>
      </c>
      <c r="AC89" s="26" t="s">
        <v>166</v>
      </c>
      <c r="AD89" s="153" t="str">
        <f t="shared" si="5"/>
        <v>Rye</v>
      </c>
      <c r="AE89" s="26" t="s">
        <v>1630</v>
      </c>
      <c r="AG89" s="26" t="s">
        <v>259</v>
      </c>
      <c r="AH89" s="26" t="s">
        <v>259</v>
      </c>
      <c r="AI89" s="26" t="s">
        <v>230</v>
      </c>
      <c r="AP89" s="26" t="s">
        <v>154</v>
      </c>
      <c r="AQ89" s="26">
        <v>4</v>
      </c>
      <c r="AR89" s="26">
        <v>4</v>
      </c>
      <c r="AS89" s="26" t="s">
        <v>177</v>
      </c>
      <c r="AW89" s="63"/>
      <c r="DS89" s="12"/>
      <c r="DU89" s="15"/>
      <c r="EH89" s="26">
        <f>80/22.7273</f>
        <v>3.5199957760050689</v>
      </c>
      <c r="EI89" s="26">
        <f>70/22.7273</f>
        <v>3.0799963040044354</v>
      </c>
      <c r="EJ89" s="26">
        <f>33/22.7273</f>
        <v>1.4519982576020909</v>
      </c>
      <c r="FC89" s="26">
        <v>7</v>
      </c>
    </row>
    <row r="90" spans="1:159" s="24" customFormat="1" x14ac:dyDescent="0.25">
      <c r="A90" s="24">
        <v>8</v>
      </c>
      <c r="B90" s="24" t="s">
        <v>253</v>
      </c>
      <c r="C90" s="24" t="s">
        <v>254</v>
      </c>
      <c r="D90" s="24">
        <v>2016</v>
      </c>
      <c r="E90" s="24">
        <v>2010</v>
      </c>
      <c r="F90" s="24" t="s">
        <v>255</v>
      </c>
      <c r="G90" s="24" t="s">
        <v>256</v>
      </c>
      <c r="H90" s="24">
        <f>42+4/60</f>
        <v>42.06666666666667</v>
      </c>
      <c r="I90" s="24">
        <f>-86-21/60</f>
        <v>-86.35</v>
      </c>
      <c r="J90" s="24">
        <v>205</v>
      </c>
      <c r="P90" s="55" t="s">
        <v>179</v>
      </c>
      <c r="Q90" s="55"/>
      <c r="R90" s="55" t="s">
        <v>257</v>
      </c>
      <c r="S90" s="55" t="s">
        <v>1640</v>
      </c>
      <c r="T90" s="55" t="s">
        <v>1640</v>
      </c>
      <c r="X90" s="24" t="s">
        <v>258</v>
      </c>
      <c r="AB90" s="24" t="s">
        <v>1549</v>
      </c>
      <c r="AC90" s="24" t="s">
        <v>166</v>
      </c>
      <c r="AD90" s="153" t="str">
        <f t="shared" si="5"/>
        <v>Rye</v>
      </c>
      <c r="AE90" s="24" t="s">
        <v>1628</v>
      </c>
      <c r="AG90" s="24" t="s">
        <v>262</v>
      </c>
      <c r="AH90" s="24" t="s">
        <v>262</v>
      </c>
      <c r="AI90" s="24" t="s">
        <v>230</v>
      </c>
      <c r="AJ90" s="24" t="s">
        <v>261</v>
      </c>
      <c r="AK90" s="24" t="s">
        <v>261</v>
      </c>
      <c r="AL90" s="24" t="s">
        <v>230</v>
      </c>
      <c r="AN90" s="24" t="s">
        <v>260</v>
      </c>
      <c r="AP90" s="24" t="s">
        <v>154</v>
      </c>
      <c r="AQ90" s="23">
        <v>4</v>
      </c>
      <c r="AR90" s="23">
        <v>4</v>
      </c>
      <c r="AS90" s="23" t="s">
        <v>227</v>
      </c>
      <c r="AU90" s="24">
        <f>528.88*10</f>
        <v>5288.8</v>
      </c>
      <c r="AW90" s="65"/>
      <c r="AX90" s="23"/>
      <c r="BB90" s="24">
        <f>5.09*1000</f>
        <v>5090</v>
      </c>
      <c r="BC90" s="24">
        <f>4.94*1000</f>
        <v>4940</v>
      </c>
      <c r="DM90" s="24">
        <f>(40+13+41+3+326)/5</f>
        <v>84.6</v>
      </c>
      <c r="DN90" s="24">
        <f>(9+4+40+2+127)/5</f>
        <v>36.4</v>
      </c>
      <c r="DO90" s="24" t="s">
        <v>859</v>
      </c>
      <c r="DP90" s="24">
        <f>(0+0.77+1.87+3.67)/4</f>
        <v>1.5775000000000001</v>
      </c>
      <c r="DQ90" s="24">
        <f>(0+3.17+4.6+6.17)/4</f>
        <v>3.4849999999999999</v>
      </c>
      <c r="DR90" s="24" t="s">
        <v>862</v>
      </c>
      <c r="DS90" s="12">
        <f>(3.38+1.45+0.51+0.06+1.54)/5</f>
        <v>1.3879999999999999</v>
      </c>
      <c r="DT90" s="24">
        <f>(7.05+0.33+0.22+1.39+0.72)/5</f>
        <v>1.9420000000000002</v>
      </c>
      <c r="DU90" s="15" t="s">
        <v>863</v>
      </c>
      <c r="FA90" s="24" t="s">
        <v>864</v>
      </c>
      <c r="FC90" s="24">
        <v>8</v>
      </c>
    </row>
    <row r="91" spans="1:159" s="24" customFormat="1" x14ac:dyDescent="0.25">
      <c r="A91" s="24">
        <v>8</v>
      </c>
      <c r="B91" s="24" t="s">
        <v>253</v>
      </c>
      <c r="C91" s="24" t="s">
        <v>254</v>
      </c>
      <c r="D91" s="24">
        <v>2016</v>
      </c>
      <c r="E91" s="24">
        <v>2011</v>
      </c>
      <c r="F91" s="24" t="s">
        <v>255</v>
      </c>
      <c r="G91" s="24" t="s">
        <v>256</v>
      </c>
      <c r="H91" s="24">
        <f>42+4/60</f>
        <v>42.06666666666667</v>
      </c>
      <c r="I91" s="24">
        <f>-86-21/60</f>
        <v>-86.35</v>
      </c>
      <c r="J91" s="24">
        <v>205</v>
      </c>
      <c r="P91" s="55" t="s">
        <v>180</v>
      </c>
      <c r="Q91" s="55"/>
      <c r="R91" s="55" t="s">
        <v>257</v>
      </c>
      <c r="S91" s="55" t="s">
        <v>1640</v>
      </c>
      <c r="T91" s="55" t="s">
        <v>1640</v>
      </c>
      <c r="X91" s="24" t="s">
        <v>258</v>
      </c>
      <c r="AB91" s="24" t="s">
        <v>1549</v>
      </c>
      <c r="AC91" s="24" t="s">
        <v>166</v>
      </c>
      <c r="AD91" s="153" t="str">
        <f t="shared" si="5"/>
        <v>Rye</v>
      </c>
      <c r="AE91" s="24" t="s">
        <v>1628</v>
      </c>
      <c r="AG91" s="24" t="s">
        <v>262</v>
      </c>
      <c r="AH91" s="24" t="s">
        <v>262</v>
      </c>
      <c r="AI91" s="24" t="s">
        <v>230</v>
      </c>
      <c r="AJ91" s="24" t="s">
        <v>261</v>
      </c>
      <c r="AK91" s="24" t="s">
        <v>261</v>
      </c>
      <c r="AL91" s="24" t="s">
        <v>230</v>
      </c>
      <c r="AN91" s="24" t="s">
        <v>260</v>
      </c>
      <c r="AP91" s="24" t="s">
        <v>154</v>
      </c>
      <c r="AQ91" s="23">
        <v>4</v>
      </c>
      <c r="AR91" s="23">
        <v>4</v>
      </c>
      <c r="AS91" s="23" t="s">
        <v>227</v>
      </c>
      <c r="AU91" s="24">
        <f>372.96*10</f>
        <v>3729.6</v>
      </c>
      <c r="AW91" s="65"/>
      <c r="AX91" s="23"/>
      <c r="BB91" s="24">
        <f>5.31*1000</f>
        <v>5310</v>
      </c>
      <c r="BC91" s="24">
        <f>5.01*1000</f>
        <v>5010</v>
      </c>
      <c r="DM91" s="24">
        <f>(24+0+5+391+16)/5</f>
        <v>87.2</v>
      </c>
      <c r="DN91" s="24">
        <f>(2+0+15+260+4)/5</f>
        <v>56.2</v>
      </c>
      <c r="DO91" s="24" t="s">
        <v>859</v>
      </c>
      <c r="DP91" s="24">
        <f>(8.74+0.7+2.32+7.31)/4</f>
        <v>4.7675000000000001</v>
      </c>
      <c r="DQ91" s="24">
        <f>(8.36+0.59+2.43+6.66)/4</f>
        <v>4.51</v>
      </c>
      <c r="DR91" s="24" t="s">
        <v>862</v>
      </c>
      <c r="DS91" s="12">
        <f>(0.7+0.05+0.2+0.02+0.21)/5</f>
        <v>0.23599999999999999</v>
      </c>
      <c r="DT91" s="24">
        <f>(0.71+0.16+0.07+0.02+0.13)/5</f>
        <v>0.21799999999999997</v>
      </c>
      <c r="DU91" s="15" t="s">
        <v>863</v>
      </c>
      <c r="FA91" s="24" t="s">
        <v>864</v>
      </c>
      <c r="FC91" s="24">
        <v>8</v>
      </c>
    </row>
    <row r="92" spans="1:159" s="26" customFormat="1" x14ac:dyDescent="0.25">
      <c r="A92" s="26">
        <v>9</v>
      </c>
      <c r="B92" s="26" t="s">
        <v>264</v>
      </c>
      <c r="C92" s="26" t="s">
        <v>265</v>
      </c>
      <c r="D92" s="26">
        <v>1992</v>
      </c>
      <c r="E92" s="26">
        <v>1985</v>
      </c>
      <c r="F92" s="26" t="s">
        <v>267</v>
      </c>
      <c r="G92" s="26" t="s">
        <v>266</v>
      </c>
      <c r="H92" s="26">
        <f t="shared" ref="H92:H97" si="7">33+54/60</f>
        <v>33.9</v>
      </c>
      <c r="I92" s="26">
        <f t="shared" ref="I92:I97" si="8">-82-24/60</f>
        <v>-82.4</v>
      </c>
      <c r="J92" s="26">
        <v>130.1</v>
      </c>
      <c r="P92" s="52" t="s">
        <v>181</v>
      </c>
      <c r="Q92" s="52"/>
      <c r="R92" s="52" t="s">
        <v>269</v>
      </c>
      <c r="S92" s="52" t="s">
        <v>1652</v>
      </c>
      <c r="T92" s="52" t="s">
        <v>1652</v>
      </c>
      <c r="V92" s="26">
        <f>54.1/(54.1+14.6+5.8)*100</f>
        <v>72.617449664429529</v>
      </c>
      <c r="W92" s="26">
        <f>14.6/(54.1+14.6+5.8)*100</f>
        <v>19.597315436241612</v>
      </c>
      <c r="X92" s="26" t="s">
        <v>268</v>
      </c>
      <c r="AB92" s="26" t="s">
        <v>1550</v>
      </c>
      <c r="AC92" s="26" t="s">
        <v>1805</v>
      </c>
      <c r="AD92" s="153" t="str">
        <f t="shared" si="5"/>
        <v>Crimson_clover</v>
      </c>
      <c r="AE92" s="26" t="s">
        <v>205</v>
      </c>
      <c r="AJ92" s="26" t="s">
        <v>276</v>
      </c>
      <c r="AK92" s="26" t="s">
        <v>275</v>
      </c>
      <c r="AL92" s="26" t="s">
        <v>618</v>
      </c>
      <c r="AP92" s="26" t="s">
        <v>154</v>
      </c>
      <c r="AQ92" s="26">
        <v>3</v>
      </c>
      <c r="AR92" s="26">
        <v>3</v>
      </c>
      <c r="AW92" s="63"/>
      <c r="AX92" s="26" t="s">
        <v>270</v>
      </c>
      <c r="CF92" s="26">
        <f>0.61*1000</f>
        <v>610</v>
      </c>
      <c r="CG92" s="26">
        <f>0.87*1000</f>
        <v>870</v>
      </c>
      <c r="CH92" s="26" t="s">
        <v>213</v>
      </c>
      <c r="CO92" s="26">
        <f>(26.7+29.5)/2</f>
        <v>28.1</v>
      </c>
      <c r="CP92" s="26">
        <f>(51.3+50.7)/2</f>
        <v>51</v>
      </c>
      <c r="CQ92" s="26" t="s">
        <v>278</v>
      </c>
      <c r="DS92" s="12"/>
      <c r="DU92" s="15"/>
      <c r="FC92" s="26">
        <v>9</v>
      </c>
    </row>
    <row r="93" spans="1:159" s="26" customFormat="1" x14ac:dyDescent="0.25">
      <c r="A93" s="26">
        <v>9</v>
      </c>
      <c r="B93" s="26" t="s">
        <v>264</v>
      </c>
      <c r="C93" s="26" t="s">
        <v>265</v>
      </c>
      <c r="D93" s="26">
        <v>1992</v>
      </c>
      <c r="E93" s="26">
        <v>1985</v>
      </c>
      <c r="F93" s="26" t="s">
        <v>267</v>
      </c>
      <c r="G93" s="26" t="s">
        <v>266</v>
      </c>
      <c r="H93" s="26">
        <f t="shared" si="7"/>
        <v>33.9</v>
      </c>
      <c r="I93" s="26">
        <f t="shared" si="8"/>
        <v>-82.4</v>
      </c>
      <c r="J93" s="26">
        <v>130.1</v>
      </c>
      <c r="P93" s="52" t="s">
        <v>181</v>
      </c>
      <c r="Q93" s="52"/>
      <c r="R93" s="52" t="s">
        <v>269</v>
      </c>
      <c r="S93" s="52" t="s">
        <v>1652</v>
      </c>
      <c r="T93" s="52" t="s">
        <v>1652</v>
      </c>
      <c r="V93" s="26">
        <f>47/(47+20.4+10.7)*100</f>
        <v>60.179257362355941</v>
      </c>
      <c r="W93" s="26">
        <f>20.4/(47+20.4+10.7)*100</f>
        <v>26.120358514724707</v>
      </c>
      <c r="X93" s="26" t="s">
        <v>268</v>
      </c>
      <c r="AB93" s="26" t="s">
        <v>1550</v>
      </c>
      <c r="AC93" s="26" t="s">
        <v>1805</v>
      </c>
      <c r="AD93" s="153" t="str">
        <f t="shared" si="5"/>
        <v>Crimson_clover</v>
      </c>
      <c r="AE93" s="26" t="s">
        <v>205</v>
      </c>
      <c r="AJ93" s="26" t="s">
        <v>276</v>
      </c>
      <c r="AK93" s="26" t="s">
        <v>275</v>
      </c>
      <c r="AL93" s="26" t="s">
        <v>618</v>
      </c>
      <c r="AP93" s="26" t="s">
        <v>154</v>
      </c>
      <c r="AQ93" s="26">
        <v>3</v>
      </c>
      <c r="AR93" s="26">
        <v>3</v>
      </c>
      <c r="AW93" s="63"/>
      <c r="AX93" s="26" t="s">
        <v>271</v>
      </c>
      <c r="CF93" s="26">
        <f>0.59*1000</f>
        <v>590</v>
      </c>
      <c r="CG93" s="26">
        <f>0.88*1000</f>
        <v>880</v>
      </c>
      <c r="CH93" s="26" t="s">
        <v>213</v>
      </c>
      <c r="CO93" s="26">
        <f>(32.9+20.5)/2</f>
        <v>26.7</v>
      </c>
      <c r="CP93" s="26">
        <f>(51.8+46.4)/2</f>
        <v>49.099999999999994</v>
      </c>
      <c r="CQ93" s="26" t="s">
        <v>278</v>
      </c>
      <c r="DS93" s="12"/>
      <c r="DU93" s="15"/>
      <c r="FC93" s="26">
        <v>9</v>
      </c>
    </row>
    <row r="94" spans="1:159" s="26" customFormat="1" x14ac:dyDescent="0.25">
      <c r="A94" s="26">
        <v>9</v>
      </c>
      <c r="B94" s="26" t="s">
        <v>264</v>
      </c>
      <c r="C94" s="26" t="s">
        <v>265</v>
      </c>
      <c r="D94" s="26">
        <v>1992</v>
      </c>
      <c r="E94" s="26">
        <v>1985</v>
      </c>
      <c r="F94" s="26" t="s">
        <v>267</v>
      </c>
      <c r="G94" s="26" t="s">
        <v>266</v>
      </c>
      <c r="H94" s="26">
        <f t="shared" si="7"/>
        <v>33.9</v>
      </c>
      <c r="I94" s="26">
        <f t="shared" si="8"/>
        <v>-82.4</v>
      </c>
      <c r="J94" s="26">
        <v>130.1</v>
      </c>
      <c r="P94" s="52" t="s">
        <v>181</v>
      </c>
      <c r="Q94" s="52"/>
      <c r="R94" s="52" t="s">
        <v>269</v>
      </c>
      <c r="S94" s="52" t="s">
        <v>1652</v>
      </c>
      <c r="T94" s="52" t="s">
        <v>1652</v>
      </c>
      <c r="V94" s="26">
        <f>42.5/(42.5+21.3+19)*100</f>
        <v>51.328502415458942</v>
      </c>
      <c r="W94" s="26">
        <f>21.3/(42.5+21.3+19)*100</f>
        <v>25.724637681159422</v>
      </c>
      <c r="X94" s="26" t="s">
        <v>268</v>
      </c>
      <c r="AB94" s="26" t="s">
        <v>1550</v>
      </c>
      <c r="AC94" s="26" t="s">
        <v>1805</v>
      </c>
      <c r="AD94" s="153" t="str">
        <f t="shared" si="5"/>
        <v>Crimson_clover</v>
      </c>
      <c r="AE94" s="26" t="s">
        <v>205</v>
      </c>
      <c r="AJ94" s="26" t="s">
        <v>276</v>
      </c>
      <c r="AK94" s="26" t="s">
        <v>275</v>
      </c>
      <c r="AL94" s="26" t="s">
        <v>618</v>
      </c>
      <c r="AP94" s="26" t="s">
        <v>154</v>
      </c>
      <c r="AQ94" s="26">
        <v>3</v>
      </c>
      <c r="AR94" s="26">
        <v>3</v>
      </c>
      <c r="AW94" s="63"/>
      <c r="AX94" s="26" t="s">
        <v>272</v>
      </c>
      <c r="CF94" s="26">
        <f>0.65*1000</f>
        <v>650</v>
      </c>
      <c r="CG94" s="26">
        <f>0.91*1000</f>
        <v>910</v>
      </c>
      <c r="CH94" s="26" t="s">
        <v>213</v>
      </c>
      <c r="CO94" s="26">
        <f>(35.9+20.2)/2</f>
        <v>28.049999999999997</v>
      </c>
      <c r="CP94" s="26">
        <f>(46+41.6)/2</f>
        <v>43.8</v>
      </c>
      <c r="CQ94" s="26" t="s">
        <v>278</v>
      </c>
      <c r="DS94" s="12"/>
      <c r="DU94" s="15"/>
      <c r="FC94" s="26">
        <v>9</v>
      </c>
    </row>
    <row r="95" spans="1:159" s="26" customFormat="1" x14ac:dyDescent="0.25">
      <c r="A95" s="26">
        <v>9</v>
      </c>
      <c r="B95" s="26" t="s">
        <v>264</v>
      </c>
      <c r="C95" s="26" t="s">
        <v>265</v>
      </c>
      <c r="D95" s="26">
        <v>1992</v>
      </c>
      <c r="E95" s="26">
        <v>1985</v>
      </c>
      <c r="F95" s="26" t="s">
        <v>267</v>
      </c>
      <c r="G95" s="26" t="s">
        <v>266</v>
      </c>
      <c r="H95" s="26">
        <f t="shared" si="7"/>
        <v>33.9</v>
      </c>
      <c r="I95" s="26">
        <f t="shared" si="8"/>
        <v>-82.4</v>
      </c>
      <c r="J95" s="26">
        <v>130.1</v>
      </c>
      <c r="P95" s="52" t="s">
        <v>181</v>
      </c>
      <c r="Q95" s="52"/>
      <c r="R95" s="52" t="s">
        <v>269</v>
      </c>
      <c r="S95" s="52" t="s">
        <v>1652</v>
      </c>
      <c r="T95" s="52" t="s">
        <v>1652</v>
      </c>
      <c r="V95" s="26">
        <f>54.1/(54.1+14.6+5.8)*100</f>
        <v>72.617449664429529</v>
      </c>
      <c r="W95" s="26">
        <f>14.6/(54.1+14.6+5.8)*100</f>
        <v>19.597315436241612</v>
      </c>
      <c r="X95" s="26" t="s">
        <v>268</v>
      </c>
      <c r="AB95" s="26" t="s">
        <v>1550</v>
      </c>
      <c r="AC95" s="26" t="s">
        <v>1805</v>
      </c>
      <c r="AD95" s="153" t="str">
        <f t="shared" si="5"/>
        <v>Crimson_clover</v>
      </c>
      <c r="AE95" s="26" t="s">
        <v>277</v>
      </c>
      <c r="AJ95" s="26" t="s">
        <v>276</v>
      </c>
      <c r="AK95" s="26" t="s">
        <v>275</v>
      </c>
      <c r="AL95" s="26" t="s">
        <v>618</v>
      </c>
      <c r="AP95" s="26" t="s">
        <v>154</v>
      </c>
      <c r="AQ95" s="26">
        <v>3</v>
      </c>
      <c r="AR95" s="26">
        <v>3</v>
      </c>
      <c r="AW95" s="63"/>
      <c r="AX95" s="26" t="s">
        <v>270</v>
      </c>
      <c r="CF95" s="26">
        <f>0.5*1000</f>
        <v>500</v>
      </c>
      <c r="CG95" s="26">
        <f>0.87*1000</f>
        <v>870</v>
      </c>
      <c r="CH95" s="26" t="s">
        <v>213</v>
      </c>
      <c r="CO95" s="26">
        <f>(33+25.7)/2</f>
        <v>29.35</v>
      </c>
      <c r="CP95" s="26">
        <f>(51.3+50.7)/2</f>
        <v>51</v>
      </c>
      <c r="CQ95" s="26" t="s">
        <v>278</v>
      </c>
      <c r="DS95" s="12"/>
      <c r="DU95" s="15"/>
      <c r="FC95" s="26">
        <v>9</v>
      </c>
    </row>
    <row r="96" spans="1:159" s="26" customFormat="1" x14ac:dyDescent="0.25">
      <c r="A96" s="26">
        <v>9</v>
      </c>
      <c r="B96" s="26" t="s">
        <v>264</v>
      </c>
      <c r="C96" s="26" t="s">
        <v>265</v>
      </c>
      <c r="D96" s="26">
        <v>1992</v>
      </c>
      <c r="E96" s="26">
        <v>1985</v>
      </c>
      <c r="F96" s="26" t="s">
        <v>267</v>
      </c>
      <c r="G96" s="26" t="s">
        <v>266</v>
      </c>
      <c r="H96" s="26">
        <f t="shared" si="7"/>
        <v>33.9</v>
      </c>
      <c r="I96" s="26">
        <f t="shared" si="8"/>
        <v>-82.4</v>
      </c>
      <c r="J96" s="26">
        <v>130.1</v>
      </c>
      <c r="P96" s="52" t="s">
        <v>181</v>
      </c>
      <c r="Q96" s="52"/>
      <c r="R96" s="52" t="s">
        <v>269</v>
      </c>
      <c r="S96" s="52" t="s">
        <v>1652</v>
      </c>
      <c r="T96" s="52" t="s">
        <v>1652</v>
      </c>
      <c r="V96" s="26">
        <f>47/(47+20.4+10.7)*100</f>
        <v>60.179257362355941</v>
      </c>
      <c r="W96" s="26">
        <f>20.4/(47+20.4+10.7)*100</f>
        <v>26.120358514724707</v>
      </c>
      <c r="X96" s="26" t="s">
        <v>268</v>
      </c>
      <c r="AB96" s="26" t="s">
        <v>1550</v>
      </c>
      <c r="AC96" s="26" t="s">
        <v>1805</v>
      </c>
      <c r="AD96" s="153" t="str">
        <f t="shared" si="5"/>
        <v>Crimson_clover</v>
      </c>
      <c r="AE96" s="26" t="s">
        <v>277</v>
      </c>
      <c r="AJ96" s="26" t="s">
        <v>276</v>
      </c>
      <c r="AK96" s="26" t="s">
        <v>275</v>
      </c>
      <c r="AL96" s="26" t="s">
        <v>618</v>
      </c>
      <c r="AP96" s="26" t="s">
        <v>154</v>
      </c>
      <c r="AQ96" s="26">
        <v>3</v>
      </c>
      <c r="AR96" s="26">
        <v>3</v>
      </c>
      <c r="AW96" s="63"/>
      <c r="AX96" s="26" t="s">
        <v>271</v>
      </c>
      <c r="CF96" s="26">
        <f>0.59*1000</f>
        <v>590</v>
      </c>
      <c r="CG96" s="26">
        <f>0.88*1000</f>
        <v>880</v>
      </c>
      <c r="CH96" s="26" t="s">
        <v>213</v>
      </c>
      <c r="CO96" s="26">
        <f>(38.6+20.1)/2</f>
        <v>29.35</v>
      </c>
      <c r="CP96" s="26">
        <f>(51.8+46.4)/2</f>
        <v>49.099999999999994</v>
      </c>
      <c r="CQ96" s="26" t="s">
        <v>278</v>
      </c>
      <c r="DS96" s="12"/>
      <c r="DU96" s="15"/>
      <c r="FC96" s="26">
        <v>9</v>
      </c>
    </row>
    <row r="97" spans="1:159" s="26" customFormat="1" x14ac:dyDescent="0.25">
      <c r="A97" s="26">
        <v>9</v>
      </c>
      <c r="B97" s="26" t="s">
        <v>264</v>
      </c>
      <c r="C97" s="26" t="s">
        <v>265</v>
      </c>
      <c r="D97" s="26">
        <v>1992</v>
      </c>
      <c r="E97" s="26">
        <v>1985</v>
      </c>
      <c r="F97" s="26" t="s">
        <v>267</v>
      </c>
      <c r="G97" s="26" t="s">
        <v>266</v>
      </c>
      <c r="H97" s="26">
        <f t="shared" si="7"/>
        <v>33.9</v>
      </c>
      <c r="I97" s="26">
        <f t="shared" si="8"/>
        <v>-82.4</v>
      </c>
      <c r="J97" s="26">
        <v>130.1</v>
      </c>
      <c r="P97" s="52" t="s">
        <v>181</v>
      </c>
      <c r="Q97" s="52"/>
      <c r="R97" s="52" t="s">
        <v>269</v>
      </c>
      <c r="S97" s="52" t="s">
        <v>1652</v>
      </c>
      <c r="T97" s="52" t="s">
        <v>1652</v>
      </c>
      <c r="V97" s="26">
        <f>42.5/(42.5+21.3+19)*100</f>
        <v>51.328502415458942</v>
      </c>
      <c r="W97" s="26">
        <f>21.3/(42.5+21.3+19)*100</f>
        <v>25.724637681159422</v>
      </c>
      <c r="X97" s="26" t="s">
        <v>268</v>
      </c>
      <c r="AB97" s="26" t="s">
        <v>1550</v>
      </c>
      <c r="AC97" s="26" t="s">
        <v>1805</v>
      </c>
      <c r="AD97" s="153" t="str">
        <f t="shared" si="5"/>
        <v>Crimson_clover</v>
      </c>
      <c r="AE97" s="26" t="s">
        <v>277</v>
      </c>
      <c r="AJ97" s="26" t="s">
        <v>276</v>
      </c>
      <c r="AK97" s="26" t="s">
        <v>275</v>
      </c>
      <c r="AL97" s="26" t="s">
        <v>618</v>
      </c>
      <c r="AP97" s="26" t="s">
        <v>154</v>
      </c>
      <c r="AQ97" s="26">
        <v>3</v>
      </c>
      <c r="AR97" s="26">
        <v>3</v>
      </c>
      <c r="AW97" s="63"/>
      <c r="AX97" s="26" t="s">
        <v>272</v>
      </c>
      <c r="CF97" s="26">
        <f>0.64*1000</f>
        <v>640</v>
      </c>
      <c r="CG97" s="26">
        <f>0.91*1000</f>
        <v>910</v>
      </c>
      <c r="CH97" s="26" t="s">
        <v>213</v>
      </c>
      <c r="CO97" s="26">
        <f>(34.5+21)/2</f>
        <v>27.75</v>
      </c>
      <c r="CP97" s="26">
        <f>(46+41.6)/2</f>
        <v>43.8</v>
      </c>
      <c r="CQ97" s="26" t="s">
        <v>278</v>
      </c>
      <c r="DS97" s="12"/>
      <c r="DU97" s="15"/>
      <c r="FC97" s="26">
        <v>9</v>
      </c>
    </row>
    <row r="98" spans="1:159" s="23" customFormat="1" x14ac:dyDescent="0.25">
      <c r="A98" s="23">
        <v>10</v>
      </c>
      <c r="B98" s="27" t="s">
        <v>279</v>
      </c>
      <c r="C98" s="23" t="s">
        <v>280</v>
      </c>
      <c r="D98" s="23">
        <v>2015</v>
      </c>
      <c r="E98" s="23">
        <v>2010</v>
      </c>
      <c r="F98" s="23" t="s">
        <v>281</v>
      </c>
      <c r="G98" s="23" t="s">
        <v>282</v>
      </c>
      <c r="H98" s="23">
        <v>43.064999999999998</v>
      </c>
      <c r="I98" s="23">
        <v>-89.534999999999997</v>
      </c>
      <c r="J98" s="23">
        <v>331.7</v>
      </c>
      <c r="P98" s="53" t="s">
        <v>179</v>
      </c>
      <c r="Q98" s="53"/>
      <c r="R98" s="53" t="s">
        <v>284</v>
      </c>
      <c r="S98" s="53" t="s">
        <v>1647</v>
      </c>
      <c r="T98" s="53" t="s">
        <v>1647</v>
      </c>
      <c r="X98" s="23" t="s">
        <v>168</v>
      </c>
      <c r="Y98" s="23">
        <v>7.1</v>
      </c>
      <c r="Z98" s="23">
        <v>2.9</v>
      </c>
      <c r="AB98" s="23" t="s">
        <v>1551</v>
      </c>
      <c r="AC98" s="23" t="s">
        <v>288</v>
      </c>
      <c r="AD98" s="153" t="str">
        <f t="shared" si="5"/>
        <v>Buckwheat</v>
      </c>
      <c r="AE98" s="23" t="s">
        <v>287</v>
      </c>
      <c r="AJ98" s="23" t="s">
        <v>289</v>
      </c>
      <c r="AK98" s="23" t="s">
        <v>289</v>
      </c>
      <c r="AL98" s="23" t="s">
        <v>230</v>
      </c>
      <c r="AP98" s="23" t="s">
        <v>154</v>
      </c>
      <c r="AQ98" s="23">
        <v>4</v>
      </c>
      <c r="AR98" s="23">
        <v>4</v>
      </c>
      <c r="AW98" s="64"/>
      <c r="BB98" s="23">
        <f>(40+24.2)/2*1000</f>
        <v>32100</v>
      </c>
      <c r="BC98" s="23">
        <f>(31.5+25.7)/2*1000</f>
        <v>28600</v>
      </c>
      <c r="BD98" s="23" t="s">
        <v>293</v>
      </c>
      <c r="BK98" s="23">
        <v>11.22</v>
      </c>
      <c r="BL98" s="23">
        <v>8.83</v>
      </c>
      <c r="BM98" s="23" t="s">
        <v>414</v>
      </c>
      <c r="DM98" s="23">
        <v>2320</v>
      </c>
      <c r="DN98" s="23">
        <v>630</v>
      </c>
      <c r="DS98" s="12"/>
      <c r="DU98" s="15"/>
      <c r="FC98" s="23">
        <v>10</v>
      </c>
    </row>
    <row r="99" spans="1:159" s="23" customFormat="1" x14ac:dyDescent="0.25">
      <c r="A99" s="23">
        <v>10</v>
      </c>
      <c r="B99" s="27" t="s">
        <v>279</v>
      </c>
      <c r="C99" s="23" t="s">
        <v>280</v>
      </c>
      <c r="D99" s="23">
        <v>2015</v>
      </c>
      <c r="E99" s="23">
        <v>2011</v>
      </c>
      <c r="F99" s="23" t="s">
        <v>281</v>
      </c>
      <c r="G99" s="23" t="s">
        <v>282</v>
      </c>
      <c r="H99" s="23">
        <v>43.064999999999998</v>
      </c>
      <c r="I99" s="23">
        <v>-89.534999999999997</v>
      </c>
      <c r="J99" s="23">
        <v>331.7</v>
      </c>
      <c r="P99" s="53" t="s">
        <v>180</v>
      </c>
      <c r="Q99" s="53"/>
      <c r="R99" s="53" t="s">
        <v>285</v>
      </c>
      <c r="S99" s="53" t="s">
        <v>1647</v>
      </c>
      <c r="T99" s="53" t="s">
        <v>1647</v>
      </c>
      <c r="X99" s="23" t="s">
        <v>168</v>
      </c>
      <c r="Y99" s="23">
        <v>7.1</v>
      </c>
      <c r="Z99" s="23">
        <v>2.9</v>
      </c>
      <c r="AB99" s="23" t="s">
        <v>1551</v>
      </c>
      <c r="AC99" s="23" t="s">
        <v>288</v>
      </c>
      <c r="AD99" s="153" t="str">
        <f t="shared" si="5"/>
        <v>Buckwheat</v>
      </c>
      <c r="AE99" s="23" t="s">
        <v>287</v>
      </c>
      <c r="AJ99" s="23" t="s">
        <v>289</v>
      </c>
      <c r="AK99" s="23" t="s">
        <v>289</v>
      </c>
      <c r="AL99" s="23" t="s">
        <v>230</v>
      </c>
      <c r="AP99" s="23" t="s">
        <v>154</v>
      </c>
      <c r="AQ99" s="23">
        <v>4</v>
      </c>
      <c r="AR99" s="23">
        <v>4</v>
      </c>
      <c r="AW99" s="64"/>
      <c r="BK99" s="23">
        <v>17.41</v>
      </c>
      <c r="BL99" s="23">
        <v>15.03</v>
      </c>
      <c r="BM99" s="23" t="s">
        <v>414</v>
      </c>
      <c r="DM99" s="23">
        <v>1130</v>
      </c>
      <c r="DN99" s="23">
        <v>230</v>
      </c>
      <c r="DS99" s="12"/>
      <c r="DU99" s="15"/>
      <c r="FC99" s="23">
        <v>10</v>
      </c>
    </row>
    <row r="100" spans="1:159" s="23" customFormat="1" x14ac:dyDescent="0.25">
      <c r="A100" s="23">
        <v>10</v>
      </c>
      <c r="B100" s="27" t="s">
        <v>279</v>
      </c>
      <c r="C100" s="23" t="s">
        <v>280</v>
      </c>
      <c r="D100" s="23">
        <v>2015</v>
      </c>
      <c r="E100" s="23">
        <v>2011</v>
      </c>
      <c r="F100" s="23" t="s">
        <v>281</v>
      </c>
      <c r="G100" s="23" t="s">
        <v>283</v>
      </c>
      <c r="H100" s="23">
        <v>43.314</v>
      </c>
      <c r="I100" s="23">
        <v>-89.335999999999999</v>
      </c>
      <c r="J100" s="23">
        <v>326.5</v>
      </c>
      <c r="P100" s="53" t="s">
        <v>180</v>
      </c>
      <c r="Q100" s="53"/>
      <c r="R100" s="53" t="s">
        <v>286</v>
      </c>
      <c r="S100" s="53" t="s">
        <v>1647</v>
      </c>
      <c r="T100" s="53" t="s">
        <v>1647</v>
      </c>
      <c r="X100" s="23" t="s">
        <v>168</v>
      </c>
      <c r="Y100" s="23">
        <v>7.3</v>
      </c>
      <c r="Z100" s="23">
        <v>4</v>
      </c>
      <c r="AB100" s="23" t="s">
        <v>1551</v>
      </c>
      <c r="AC100" s="23" t="s">
        <v>288</v>
      </c>
      <c r="AD100" s="153" t="str">
        <f t="shared" si="5"/>
        <v>Buckwheat</v>
      </c>
      <c r="AE100" s="23" t="s">
        <v>287</v>
      </c>
      <c r="AJ100" s="23" t="s">
        <v>289</v>
      </c>
      <c r="AK100" s="23" t="s">
        <v>289</v>
      </c>
      <c r="AL100" s="23" t="s">
        <v>230</v>
      </c>
      <c r="AP100" s="23" t="s">
        <v>154</v>
      </c>
      <c r="AQ100" s="23">
        <v>4</v>
      </c>
      <c r="AR100" s="23">
        <v>4</v>
      </c>
      <c r="AW100" s="64"/>
      <c r="BK100" s="23">
        <v>27.1</v>
      </c>
      <c r="BL100" s="23">
        <v>18.3</v>
      </c>
      <c r="BM100" s="23" t="s">
        <v>414</v>
      </c>
      <c r="DM100" s="23">
        <v>610</v>
      </c>
      <c r="DN100" s="23">
        <v>60</v>
      </c>
      <c r="DS100" s="12"/>
      <c r="DU100" s="15"/>
      <c r="FC100" s="23">
        <v>10</v>
      </c>
    </row>
    <row r="101" spans="1:159" s="23" customFormat="1" x14ac:dyDescent="0.25">
      <c r="A101" s="23">
        <v>10</v>
      </c>
      <c r="B101" s="27" t="s">
        <v>279</v>
      </c>
      <c r="C101" s="23" t="s">
        <v>280</v>
      </c>
      <c r="D101" s="23">
        <v>2015</v>
      </c>
      <c r="E101" s="23">
        <v>2010</v>
      </c>
      <c r="F101" s="23" t="s">
        <v>281</v>
      </c>
      <c r="G101" s="23" t="s">
        <v>282</v>
      </c>
      <c r="H101" s="23">
        <v>43.064999999999998</v>
      </c>
      <c r="I101" s="23">
        <v>-89.534999999999997</v>
      </c>
      <c r="J101" s="23">
        <v>331.7</v>
      </c>
      <c r="P101" s="53" t="s">
        <v>179</v>
      </c>
      <c r="Q101" s="53"/>
      <c r="R101" s="53" t="s">
        <v>284</v>
      </c>
      <c r="S101" s="53" t="s">
        <v>1647</v>
      </c>
      <c r="T101" s="53" t="s">
        <v>1647</v>
      </c>
      <c r="X101" s="23" t="s">
        <v>168</v>
      </c>
      <c r="Y101" s="23">
        <v>7.1</v>
      </c>
      <c r="Z101" s="23">
        <v>2.9</v>
      </c>
      <c r="AB101" s="23" t="s">
        <v>1551</v>
      </c>
      <c r="AC101" s="23" t="s">
        <v>1806</v>
      </c>
      <c r="AD101" s="153" t="str">
        <f t="shared" si="5"/>
        <v>Tartary_Buckwheat</v>
      </c>
      <c r="AE101" s="23" t="s">
        <v>287</v>
      </c>
      <c r="AJ101" s="23" t="s">
        <v>289</v>
      </c>
      <c r="AK101" s="23" t="s">
        <v>289</v>
      </c>
      <c r="AL101" s="23" t="s">
        <v>230</v>
      </c>
      <c r="AP101" s="23" t="s">
        <v>154</v>
      </c>
      <c r="AQ101" s="23">
        <v>4</v>
      </c>
      <c r="AR101" s="23">
        <v>4</v>
      </c>
      <c r="AW101" s="64"/>
      <c r="BB101" s="23">
        <f t="shared" ref="BB101:BB107" si="9">(40+24.2)/2*1000</f>
        <v>32100</v>
      </c>
      <c r="BC101" s="23">
        <f>(42.1+29.8)/2*1000</f>
        <v>35950</v>
      </c>
      <c r="BD101" s="23" t="s">
        <v>293</v>
      </c>
      <c r="BK101" s="23">
        <v>11.22</v>
      </c>
      <c r="BL101" s="23">
        <v>9.34</v>
      </c>
      <c r="BM101" s="23" t="s">
        <v>414</v>
      </c>
      <c r="DM101" s="23">
        <v>2320</v>
      </c>
      <c r="DN101" s="23">
        <v>2040</v>
      </c>
      <c r="DS101" s="12"/>
      <c r="DU101" s="15"/>
      <c r="FC101" s="23">
        <v>10</v>
      </c>
    </row>
    <row r="102" spans="1:159" s="23" customFormat="1" x14ac:dyDescent="0.25">
      <c r="A102" s="23">
        <v>10</v>
      </c>
      <c r="B102" s="27" t="s">
        <v>279</v>
      </c>
      <c r="C102" s="23" t="s">
        <v>280</v>
      </c>
      <c r="D102" s="23">
        <v>2015</v>
      </c>
      <c r="E102" s="23">
        <v>2011</v>
      </c>
      <c r="F102" s="23" t="s">
        <v>281</v>
      </c>
      <c r="G102" s="23" t="s">
        <v>282</v>
      </c>
      <c r="H102" s="23">
        <v>43.064999999999998</v>
      </c>
      <c r="I102" s="23">
        <v>-89.534999999999997</v>
      </c>
      <c r="J102" s="23">
        <v>331.7</v>
      </c>
      <c r="P102" s="53" t="s">
        <v>180</v>
      </c>
      <c r="Q102" s="53"/>
      <c r="R102" s="53" t="s">
        <v>285</v>
      </c>
      <c r="S102" s="53" t="s">
        <v>1647</v>
      </c>
      <c r="T102" s="53" t="s">
        <v>1647</v>
      </c>
      <c r="X102" s="23" t="s">
        <v>168</v>
      </c>
      <c r="Y102" s="23">
        <v>7.1</v>
      </c>
      <c r="Z102" s="23">
        <v>2.9</v>
      </c>
      <c r="AB102" s="23" t="s">
        <v>1551</v>
      </c>
      <c r="AC102" s="23" t="s">
        <v>1806</v>
      </c>
      <c r="AD102" s="153" t="str">
        <f t="shared" si="5"/>
        <v>Tartary_Buckwheat</v>
      </c>
      <c r="AE102" s="23" t="s">
        <v>287</v>
      </c>
      <c r="AJ102" s="23" t="s">
        <v>289</v>
      </c>
      <c r="AK102" s="23" t="s">
        <v>289</v>
      </c>
      <c r="AL102" s="23" t="s">
        <v>230</v>
      </c>
      <c r="AP102" s="23" t="s">
        <v>154</v>
      </c>
      <c r="AQ102" s="23">
        <v>4</v>
      </c>
      <c r="AR102" s="23">
        <v>4</v>
      </c>
      <c r="AW102" s="64"/>
      <c r="BK102" s="23">
        <v>17.41</v>
      </c>
      <c r="BL102" s="23">
        <v>15.54</v>
      </c>
      <c r="BM102" s="23" t="s">
        <v>414</v>
      </c>
      <c r="DM102" s="23">
        <v>1130</v>
      </c>
      <c r="DN102" s="23">
        <v>270</v>
      </c>
      <c r="DS102" s="12"/>
      <c r="DU102" s="15"/>
      <c r="FC102" s="23">
        <v>10</v>
      </c>
    </row>
    <row r="103" spans="1:159" s="23" customFormat="1" x14ac:dyDescent="0.25">
      <c r="A103" s="23">
        <v>10</v>
      </c>
      <c r="B103" s="27" t="s">
        <v>279</v>
      </c>
      <c r="C103" s="23" t="s">
        <v>280</v>
      </c>
      <c r="D103" s="23">
        <v>2015</v>
      </c>
      <c r="E103" s="23">
        <v>2011</v>
      </c>
      <c r="F103" s="23" t="s">
        <v>281</v>
      </c>
      <c r="G103" s="23" t="s">
        <v>283</v>
      </c>
      <c r="H103" s="23">
        <v>43.314</v>
      </c>
      <c r="I103" s="23">
        <v>-89.335999999999999</v>
      </c>
      <c r="J103" s="23">
        <v>326.5</v>
      </c>
      <c r="P103" s="53" t="s">
        <v>180</v>
      </c>
      <c r="Q103" s="53"/>
      <c r="R103" s="53" t="s">
        <v>286</v>
      </c>
      <c r="S103" s="53" t="s">
        <v>1647</v>
      </c>
      <c r="T103" s="53" t="s">
        <v>1647</v>
      </c>
      <c r="X103" s="23" t="s">
        <v>168</v>
      </c>
      <c r="Y103" s="23">
        <v>7.3</v>
      </c>
      <c r="Z103" s="23">
        <v>4</v>
      </c>
      <c r="AB103" s="23" t="s">
        <v>1551</v>
      </c>
      <c r="AC103" s="23" t="s">
        <v>1806</v>
      </c>
      <c r="AD103" s="153" t="str">
        <f t="shared" si="5"/>
        <v>Tartary_Buckwheat</v>
      </c>
      <c r="AE103" s="23" t="s">
        <v>287</v>
      </c>
      <c r="AJ103" s="23" t="s">
        <v>289</v>
      </c>
      <c r="AK103" s="23" t="s">
        <v>289</v>
      </c>
      <c r="AL103" s="23" t="s">
        <v>230</v>
      </c>
      <c r="AP103" s="23" t="s">
        <v>154</v>
      </c>
      <c r="AQ103" s="23">
        <v>4</v>
      </c>
      <c r="AR103" s="23">
        <v>4</v>
      </c>
      <c r="AW103" s="64"/>
      <c r="BK103" s="23">
        <v>27.1</v>
      </c>
      <c r="BL103" s="23">
        <v>19.45</v>
      </c>
      <c r="BM103" s="23" t="s">
        <v>414</v>
      </c>
      <c r="DM103" s="23">
        <v>610</v>
      </c>
      <c r="DN103" s="23">
        <v>330</v>
      </c>
      <c r="DS103" s="12"/>
      <c r="DU103" s="15"/>
      <c r="FC103" s="23">
        <v>10</v>
      </c>
    </row>
    <row r="104" spans="1:159" s="23" customFormat="1" x14ac:dyDescent="0.25">
      <c r="A104" s="23">
        <v>10</v>
      </c>
      <c r="B104" s="27" t="s">
        <v>279</v>
      </c>
      <c r="C104" s="23" t="s">
        <v>280</v>
      </c>
      <c r="D104" s="23">
        <v>2015</v>
      </c>
      <c r="E104" s="23">
        <v>2010</v>
      </c>
      <c r="F104" s="23" t="s">
        <v>281</v>
      </c>
      <c r="G104" s="23" t="s">
        <v>282</v>
      </c>
      <c r="H104" s="23">
        <v>43.064999999999998</v>
      </c>
      <c r="I104" s="23">
        <v>-89.534999999999997</v>
      </c>
      <c r="J104" s="23">
        <v>331.7</v>
      </c>
      <c r="P104" s="53" t="s">
        <v>179</v>
      </c>
      <c r="Q104" s="53"/>
      <c r="R104" s="53" t="s">
        <v>284</v>
      </c>
      <c r="S104" s="53" t="s">
        <v>1647</v>
      </c>
      <c r="T104" s="53" t="s">
        <v>1647</v>
      </c>
      <c r="X104" s="23" t="s">
        <v>168</v>
      </c>
      <c r="Y104" s="23">
        <v>7.1</v>
      </c>
      <c r="Z104" s="23">
        <v>2.9</v>
      </c>
      <c r="AB104" s="23" t="s">
        <v>1551</v>
      </c>
      <c r="AC104" s="23" t="s">
        <v>288</v>
      </c>
      <c r="AD104" s="153" t="str">
        <f t="shared" si="5"/>
        <v>Buckwheat</v>
      </c>
      <c r="AE104" s="23" t="s">
        <v>287</v>
      </c>
      <c r="AJ104" s="23" t="s">
        <v>289</v>
      </c>
      <c r="AK104" s="23" t="s">
        <v>275</v>
      </c>
      <c r="AL104" s="23" t="s">
        <v>618</v>
      </c>
      <c r="AP104" s="23" t="s">
        <v>154</v>
      </c>
      <c r="AQ104" s="23">
        <v>4</v>
      </c>
      <c r="AR104" s="23">
        <v>4</v>
      </c>
      <c r="AW104" s="64"/>
      <c r="BB104" s="23">
        <f t="shared" si="9"/>
        <v>32100</v>
      </c>
      <c r="BC104" s="23">
        <f>(6.5+0.7+7.8+0)/4*1000</f>
        <v>3750</v>
      </c>
      <c r="BD104" s="23" t="s">
        <v>293</v>
      </c>
      <c r="BK104" s="23">
        <v>11.22</v>
      </c>
      <c r="BL104" s="23">
        <v>4.84</v>
      </c>
      <c r="BM104" s="23" t="s">
        <v>414</v>
      </c>
      <c r="DS104" s="12"/>
      <c r="DU104" s="15"/>
      <c r="FC104" s="23">
        <v>10</v>
      </c>
    </row>
    <row r="105" spans="1:159" s="23" customFormat="1" x14ac:dyDescent="0.25">
      <c r="A105" s="23">
        <v>10</v>
      </c>
      <c r="B105" s="27" t="s">
        <v>279</v>
      </c>
      <c r="C105" s="23" t="s">
        <v>280</v>
      </c>
      <c r="D105" s="23">
        <v>2015</v>
      </c>
      <c r="E105" s="23">
        <v>2011</v>
      </c>
      <c r="F105" s="23" t="s">
        <v>281</v>
      </c>
      <c r="G105" s="23" t="s">
        <v>282</v>
      </c>
      <c r="H105" s="23">
        <v>43.064999999999998</v>
      </c>
      <c r="I105" s="23">
        <v>-89.534999999999997</v>
      </c>
      <c r="J105" s="23">
        <v>331.7</v>
      </c>
      <c r="P105" s="53" t="s">
        <v>180</v>
      </c>
      <c r="Q105" s="53"/>
      <c r="R105" s="53" t="s">
        <v>285</v>
      </c>
      <c r="S105" s="53" t="s">
        <v>1647</v>
      </c>
      <c r="T105" s="53" t="s">
        <v>1647</v>
      </c>
      <c r="X105" s="23" t="s">
        <v>168</v>
      </c>
      <c r="Y105" s="23">
        <v>7.1</v>
      </c>
      <c r="Z105" s="23">
        <v>2.9</v>
      </c>
      <c r="AB105" s="23" t="s">
        <v>1551</v>
      </c>
      <c r="AC105" s="23" t="s">
        <v>288</v>
      </c>
      <c r="AD105" s="153" t="str">
        <f t="shared" si="5"/>
        <v>Buckwheat</v>
      </c>
      <c r="AE105" s="23" t="s">
        <v>287</v>
      </c>
      <c r="AJ105" s="23" t="s">
        <v>289</v>
      </c>
      <c r="AK105" s="23" t="s">
        <v>275</v>
      </c>
      <c r="AL105" s="23" t="s">
        <v>618</v>
      </c>
      <c r="AP105" s="23" t="s">
        <v>154</v>
      </c>
      <c r="AQ105" s="23">
        <v>4</v>
      </c>
      <c r="AR105" s="23">
        <v>4</v>
      </c>
      <c r="AW105" s="64"/>
      <c r="BK105" s="23">
        <v>17.41</v>
      </c>
      <c r="BL105" s="23">
        <v>11.04</v>
      </c>
      <c r="BM105" s="23" t="s">
        <v>414</v>
      </c>
      <c r="DS105" s="12"/>
      <c r="DU105" s="15"/>
      <c r="FC105" s="23">
        <v>10</v>
      </c>
    </row>
    <row r="106" spans="1:159" s="23" customFormat="1" x14ac:dyDescent="0.25">
      <c r="A106" s="23">
        <v>10</v>
      </c>
      <c r="B106" s="27" t="s">
        <v>279</v>
      </c>
      <c r="C106" s="23" t="s">
        <v>280</v>
      </c>
      <c r="D106" s="23">
        <v>2015</v>
      </c>
      <c r="E106" s="23">
        <v>2011</v>
      </c>
      <c r="F106" s="23" t="s">
        <v>281</v>
      </c>
      <c r="G106" s="23" t="s">
        <v>283</v>
      </c>
      <c r="H106" s="23">
        <v>43.314</v>
      </c>
      <c r="I106" s="23">
        <v>-89.335999999999999</v>
      </c>
      <c r="J106" s="23">
        <v>326.5</v>
      </c>
      <c r="P106" s="53" t="s">
        <v>180</v>
      </c>
      <c r="Q106" s="53"/>
      <c r="R106" s="53" t="s">
        <v>286</v>
      </c>
      <c r="S106" s="53" t="s">
        <v>1647</v>
      </c>
      <c r="T106" s="53" t="s">
        <v>1647</v>
      </c>
      <c r="X106" s="23" t="s">
        <v>168</v>
      </c>
      <c r="Y106" s="23">
        <v>7.3</v>
      </c>
      <c r="Z106" s="23">
        <v>4</v>
      </c>
      <c r="AB106" s="23" t="s">
        <v>1551</v>
      </c>
      <c r="AC106" s="23" t="s">
        <v>288</v>
      </c>
      <c r="AD106" s="153" t="str">
        <f t="shared" si="5"/>
        <v>Buckwheat</v>
      </c>
      <c r="AE106" s="23" t="s">
        <v>287</v>
      </c>
      <c r="AJ106" s="23" t="s">
        <v>289</v>
      </c>
      <c r="AK106" s="23" t="s">
        <v>275</v>
      </c>
      <c r="AL106" s="23" t="s">
        <v>618</v>
      </c>
      <c r="AP106" s="23" t="s">
        <v>154</v>
      </c>
      <c r="AQ106" s="23">
        <v>4</v>
      </c>
      <c r="AR106" s="23">
        <v>4</v>
      </c>
      <c r="AW106" s="64"/>
      <c r="BK106" s="23">
        <v>27.1</v>
      </c>
      <c r="BL106" s="23">
        <v>13.22</v>
      </c>
      <c r="BM106" s="23" t="s">
        <v>414</v>
      </c>
      <c r="DS106" s="12"/>
      <c r="DU106" s="15"/>
      <c r="FC106" s="23">
        <v>10</v>
      </c>
    </row>
    <row r="107" spans="1:159" s="23" customFormat="1" x14ac:dyDescent="0.25">
      <c r="A107" s="23">
        <v>10</v>
      </c>
      <c r="B107" s="27" t="s">
        <v>279</v>
      </c>
      <c r="C107" s="23" t="s">
        <v>280</v>
      </c>
      <c r="D107" s="23">
        <v>2015</v>
      </c>
      <c r="E107" s="23">
        <v>2010</v>
      </c>
      <c r="F107" s="23" t="s">
        <v>281</v>
      </c>
      <c r="G107" s="23" t="s">
        <v>282</v>
      </c>
      <c r="H107" s="23">
        <v>43.064999999999998</v>
      </c>
      <c r="I107" s="23">
        <v>-89.534999999999997</v>
      </c>
      <c r="J107" s="23">
        <v>331.7</v>
      </c>
      <c r="P107" s="53" t="s">
        <v>179</v>
      </c>
      <c r="Q107" s="53"/>
      <c r="R107" s="53" t="s">
        <v>284</v>
      </c>
      <c r="S107" s="53" t="s">
        <v>1647</v>
      </c>
      <c r="T107" s="53" t="s">
        <v>1647</v>
      </c>
      <c r="X107" s="23" t="s">
        <v>168</v>
      </c>
      <c r="Y107" s="23">
        <v>7.1</v>
      </c>
      <c r="Z107" s="23">
        <v>2.9</v>
      </c>
      <c r="AB107" s="23" t="s">
        <v>1551</v>
      </c>
      <c r="AC107" s="23" t="s">
        <v>1806</v>
      </c>
      <c r="AD107" s="153" t="str">
        <f t="shared" si="5"/>
        <v>Tartary_Buckwheat</v>
      </c>
      <c r="AE107" s="23" t="s">
        <v>287</v>
      </c>
      <c r="AJ107" s="23" t="s">
        <v>289</v>
      </c>
      <c r="AK107" s="23" t="s">
        <v>275</v>
      </c>
      <c r="AL107" s="23" t="s">
        <v>618</v>
      </c>
      <c r="AP107" s="23" t="s">
        <v>154</v>
      </c>
      <c r="AQ107" s="23">
        <v>4</v>
      </c>
      <c r="AR107" s="23">
        <v>4</v>
      </c>
      <c r="AW107" s="64"/>
      <c r="BB107" s="23">
        <f t="shared" si="9"/>
        <v>32100</v>
      </c>
      <c r="BC107" s="23">
        <f>(2.1+0+13.4+8.1)/4*1000</f>
        <v>5900</v>
      </c>
      <c r="BD107" s="23" t="s">
        <v>293</v>
      </c>
      <c r="BK107" s="23">
        <v>11.22</v>
      </c>
      <c r="BL107" s="23">
        <v>5.04</v>
      </c>
      <c r="BM107" s="23" t="s">
        <v>414</v>
      </c>
      <c r="DS107" s="12"/>
      <c r="DU107" s="15"/>
      <c r="FC107" s="23">
        <v>10</v>
      </c>
    </row>
    <row r="108" spans="1:159" s="23" customFormat="1" x14ac:dyDescent="0.25">
      <c r="A108" s="23">
        <v>10</v>
      </c>
      <c r="B108" s="27" t="s">
        <v>279</v>
      </c>
      <c r="C108" s="23" t="s">
        <v>280</v>
      </c>
      <c r="D108" s="23">
        <v>2015</v>
      </c>
      <c r="E108" s="23">
        <v>2011</v>
      </c>
      <c r="F108" s="23" t="s">
        <v>281</v>
      </c>
      <c r="G108" s="23" t="s">
        <v>282</v>
      </c>
      <c r="H108" s="23">
        <v>43.064999999999998</v>
      </c>
      <c r="I108" s="23">
        <v>-89.534999999999997</v>
      </c>
      <c r="J108" s="23">
        <v>331.7</v>
      </c>
      <c r="P108" s="53" t="s">
        <v>180</v>
      </c>
      <c r="Q108" s="53"/>
      <c r="R108" s="53" t="s">
        <v>285</v>
      </c>
      <c r="S108" s="53" t="s">
        <v>1647</v>
      </c>
      <c r="T108" s="53" t="s">
        <v>1647</v>
      </c>
      <c r="X108" s="23" t="s">
        <v>168</v>
      </c>
      <c r="Y108" s="23">
        <v>7.1</v>
      </c>
      <c r="Z108" s="23">
        <v>2.9</v>
      </c>
      <c r="AB108" s="23" t="s">
        <v>1551</v>
      </c>
      <c r="AC108" s="23" t="s">
        <v>1806</v>
      </c>
      <c r="AD108" s="153" t="str">
        <f t="shared" si="5"/>
        <v>Tartary_Buckwheat</v>
      </c>
      <c r="AE108" s="23" t="s">
        <v>287</v>
      </c>
      <c r="AJ108" s="23" t="s">
        <v>289</v>
      </c>
      <c r="AK108" s="23" t="s">
        <v>275</v>
      </c>
      <c r="AL108" s="23" t="s">
        <v>618</v>
      </c>
      <c r="AP108" s="23" t="s">
        <v>154</v>
      </c>
      <c r="AQ108" s="23">
        <v>4</v>
      </c>
      <c r="AR108" s="23">
        <v>4</v>
      </c>
      <c r="AW108" s="64"/>
      <c r="BK108" s="23">
        <v>17.41</v>
      </c>
      <c r="BL108" s="23">
        <v>11.24</v>
      </c>
      <c r="BM108" s="23" t="s">
        <v>414</v>
      </c>
      <c r="DS108" s="12"/>
      <c r="DU108" s="15"/>
      <c r="FC108" s="23">
        <v>10</v>
      </c>
    </row>
    <row r="109" spans="1:159" s="23" customFormat="1" x14ac:dyDescent="0.25">
      <c r="A109" s="23">
        <v>10</v>
      </c>
      <c r="B109" s="27" t="s">
        <v>279</v>
      </c>
      <c r="C109" s="23" t="s">
        <v>280</v>
      </c>
      <c r="D109" s="23">
        <v>2015</v>
      </c>
      <c r="E109" s="23">
        <v>2011</v>
      </c>
      <c r="F109" s="23" t="s">
        <v>281</v>
      </c>
      <c r="G109" s="23" t="s">
        <v>283</v>
      </c>
      <c r="H109" s="23">
        <v>43.314</v>
      </c>
      <c r="I109" s="23">
        <v>-89.335999999999999</v>
      </c>
      <c r="J109" s="23">
        <v>326.5</v>
      </c>
      <c r="P109" s="53" t="s">
        <v>180</v>
      </c>
      <c r="Q109" s="53"/>
      <c r="R109" s="53" t="s">
        <v>286</v>
      </c>
      <c r="S109" s="53" t="s">
        <v>1647</v>
      </c>
      <c r="T109" s="53" t="s">
        <v>1647</v>
      </c>
      <c r="X109" s="23" t="s">
        <v>168</v>
      </c>
      <c r="Y109" s="23">
        <v>7.3</v>
      </c>
      <c r="Z109" s="23">
        <v>4</v>
      </c>
      <c r="AB109" s="23" t="s">
        <v>1551</v>
      </c>
      <c r="AC109" s="23" t="s">
        <v>1806</v>
      </c>
      <c r="AD109" s="153" t="str">
        <f t="shared" si="5"/>
        <v>Tartary_Buckwheat</v>
      </c>
      <c r="AE109" s="23" t="s">
        <v>287</v>
      </c>
      <c r="AJ109" s="23" t="s">
        <v>289</v>
      </c>
      <c r="AK109" s="23" t="s">
        <v>275</v>
      </c>
      <c r="AL109" s="23" t="s">
        <v>618</v>
      </c>
      <c r="AP109" s="23" t="s">
        <v>154</v>
      </c>
      <c r="AQ109" s="23">
        <v>4</v>
      </c>
      <c r="AR109" s="23">
        <v>4</v>
      </c>
      <c r="AW109" s="64"/>
      <c r="BK109" s="23">
        <v>27.1</v>
      </c>
      <c r="BL109" s="23">
        <v>11.8</v>
      </c>
      <c r="BM109" s="23" t="s">
        <v>414</v>
      </c>
      <c r="DS109" s="12"/>
      <c r="DU109" s="15"/>
      <c r="FC109" s="23">
        <v>10</v>
      </c>
    </row>
    <row r="110" spans="1:159" s="26" customFormat="1" x14ac:dyDescent="0.25">
      <c r="A110" s="26">
        <v>11</v>
      </c>
      <c r="B110" s="26" t="s">
        <v>294</v>
      </c>
      <c r="C110" s="26" t="s">
        <v>295</v>
      </c>
      <c r="D110" s="26">
        <v>2010</v>
      </c>
      <c r="E110" s="26">
        <v>2005</v>
      </c>
      <c r="F110" s="26" t="s">
        <v>162</v>
      </c>
      <c r="G110" s="26" t="s">
        <v>297</v>
      </c>
      <c r="H110" s="26">
        <v>39.03</v>
      </c>
      <c r="I110" s="26">
        <v>-76.91</v>
      </c>
      <c r="J110" s="26">
        <v>34.6</v>
      </c>
      <c r="P110" s="52" t="s">
        <v>179</v>
      </c>
      <c r="Q110" s="52"/>
      <c r="R110" s="52" t="s">
        <v>285</v>
      </c>
      <c r="S110" s="52" t="s">
        <v>1647</v>
      </c>
      <c r="T110" s="52" t="s">
        <v>1647</v>
      </c>
      <c r="V110" s="26">
        <f t="shared" ref="V110:V127" si="10">(63+83)/2</f>
        <v>73</v>
      </c>
      <c r="W110" s="26">
        <f t="shared" ref="W110:W127" si="11">(7+27)/2</f>
        <v>17</v>
      </c>
      <c r="X110" s="26" t="s">
        <v>298</v>
      </c>
      <c r="AB110" s="26" t="s">
        <v>1552</v>
      </c>
      <c r="AC110" s="26" t="s">
        <v>166</v>
      </c>
      <c r="AD110" s="153" t="str">
        <f t="shared" si="5"/>
        <v>Rye</v>
      </c>
      <c r="AE110" s="26" t="s">
        <v>300</v>
      </c>
      <c r="AM110" s="26" t="s">
        <v>299</v>
      </c>
      <c r="AN110" s="26" t="s">
        <v>299</v>
      </c>
      <c r="AO110" s="26" t="s">
        <v>230</v>
      </c>
      <c r="AP110" s="26" t="s">
        <v>296</v>
      </c>
      <c r="AQ110" s="26">
        <v>4</v>
      </c>
      <c r="AR110" s="26">
        <v>4</v>
      </c>
      <c r="AS110" s="26" t="s">
        <v>177</v>
      </c>
      <c r="AW110" s="63"/>
      <c r="BB110" s="26">
        <v>56000</v>
      </c>
      <c r="BC110" s="26">
        <v>59600</v>
      </c>
      <c r="DS110" s="26">
        <f t="shared" ref="DS110:DS115" si="12">15.07*22.7273</f>
        <v>342.50041099999999</v>
      </c>
      <c r="DT110" s="26">
        <f>19.33*22.7273</f>
        <v>439.31870899999996</v>
      </c>
      <c r="DU110" s="26" t="s">
        <v>323</v>
      </c>
      <c r="FC110" s="26">
        <v>11</v>
      </c>
    </row>
    <row r="111" spans="1:159" s="26" customFormat="1" x14ac:dyDescent="0.25">
      <c r="A111" s="26">
        <v>11</v>
      </c>
      <c r="B111" s="26" t="s">
        <v>294</v>
      </c>
      <c r="C111" s="26" t="s">
        <v>295</v>
      </c>
      <c r="D111" s="26">
        <v>2010</v>
      </c>
      <c r="E111" s="26">
        <v>2005</v>
      </c>
      <c r="F111" s="26" t="s">
        <v>162</v>
      </c>
      <c r="G111" s="26" t="s">
        <v>297</v>
      </c>
      <c r="H111" s="26">
        <v>39.03</v>
      </c>
      <c r="I111" s="26">
        <v>-76.91</v>
      </c>
      <c r="J111" s="26">
        <v>34.6</v>
      </c>
      <c r="P111" s="52" t="s">
        <v>179</v>
      </c>
      <c r="Q111" s="52"/>
      <c r="R111" s="52" t="s">
        <v>285</v>
      </c>
      <c r="S111" s="52" t="s">
        <v>1647</v>
      </c>
      <c r="T111" s="52" t="s">
        <v>1647</v>
      </c>
      <c r="V111" s="26">
        <f t="shared" si="10"/>
        <v>73</v>
      </c>
      <c r="W111" s="26">
        <f t="shared" si="11"/>
        <v>17</v>
      </c>
      <c r="X111" s="26" t="s">
        <v>298</v>
      </c>
      <c r="AB111" s="26" t="s">
        <v>1552</v>
      </c>
      <c r="AC111" s="26" t="s">
        <v>1807</v>
      </c>
      <c r="AD111" s="153" t="str">
        <f t="shared" si="5"/>
        <v>Rye_roots</v>
      </c>
      <c r="AE111" s="26" t="s">
        <v>300</v>
      </c>
      <c r="AM111" s="26" t="s">
        <v>299</v>
      </c>
      <c r="AN111" s="26" t="s">
        <v>299</v>
      </c>
      <c r="AO111" s="26" t="s">
        <v>230</v>
      </c>
      <c r="AP111" s="26" t="s">
        <v>296</v>
      </c>
      <c r="AQ111" s="26">
        <v>4</v>
      </c>
      <c r="AR111" s="26">
        <v>4</v>
      </c>
      <c r="AS111" s="26" t="s">
        <v>177</v>
      </c>
      <c r="AW111" s="63"/>
      <c r="BB111" s="26">
        <v>56000</v>
      </c>
      <c r="BC111" s="26">
        <v>55100</v>
      </c>
      <c r="DS111" s="26">
        <f t="shared" si="12"/>
        <v>342.50041099999999</v>
      </c>
      <c r="DT111" s="26">
        <f>18.39*22.7273</f>
        <v>417.95504699999998</v>
      </c>
      <c r="DU111" s="26" t="s">
        <v>323</v>
      </c>
      <c r="FC111" s="26">
        <v>11</v>
      </c>
    </row>
    <row r="112" spans="1:159" s="26" customFormat="1" x14ac:dyDescent="0.25">
      <c r="A112" s="26">
        <v>11</v>
      </c>
      <c r="B112" s="26" t="s">
        <v>294</v>
      </c>
      <c r="C112" s="26" t="s">
        <v>295</v>
      </c>
      <c r="D112" s="26">
        <v>2010</v>
      </c>
      <c r="E112" s="26">
        <v>2005</v>
      </c>
      <c r="F112" s="26" t="s">
        <v>162</v>
      </c>
      <c r="G112" s="26" t="s">
        <v>297</v>
      </c>
      <c r="H112" s="26">
        <v>39.03</v>
      </c>
      <c r="I112" s="26">
        <v>-76.91</v>
      </c>
      <c r="J112" s="26">
        <v>34.6</v>
      </c>
      <c r="P112" s="52" t="s">
        <v>179</v>
      </c>
      <c r="Q112" s="52"/>
      <c r="R112" s="52" t="s">
        <v>285</v>
      </c>
      <c r="S112" s="52" t="s">
        <v>1647</v>
      </c>
      <c r="T112" s="52" t="s">
        <v>1647</v>
      </c>
      <c r="V112" s="26">
        <f t="shared" si="10"/>
        <v>73</v>
      </c>
      <c r="W112" s="26">
        <f t="shared" si="11"/>
        <v>17</v>
      </c>
      <c r="X112" s="26" t="s">
        <v>298</v>
      </c>
      <c r="AB112" s="26" t="s">
        <v>1552</v>
      </c>
      <c r="AC112" s="26" t="s">
        <v>1808</v>
      </c>
      <c r="AD112" s="153" t="str">
        <f t="shared" si="5"/>
        <v>Rye_shoots</v>
      </c>
      <c r="AE112" s="26" t="s">
        <v>300</v>
      </c>
      <c r="AM112" s="26" t="s">
        <v>299</v>
      </c>
      <c r="AN112" s="26" t="s">
        <v>299</v>
      </c>
      <c r="AO112" s="26" t="s">
        <v>230</v>
      </c>
      <c r="AP112" s="26" t="s">
        <v>296</v>
      </c>
      <c r="AQ112" s="26">
        <v>4</v>
      </c>
      <c r="AR112" s="26">
        <v>4</v>
      </c>
      <c r="AS112" s="26" t="s">
        <v>177</v>
      </c>
      <c r="AW112" s="63"/>
      <c r="BB112" s="26">
        <v>56000</v>
      </c>
      <c r="BC112" s="26">
        <v>57900</v>
      </c>
      <c r="DS112" s="26">
        <f t="shared" si="12"/>
        <v>342.50041099999999</v>
      </c>
      <c r="DT112" s="26">
        <f>16.72*22.7273</f>
        <v>380.00045599999999</v>
      </c>
      <c r="DU112" s="26" t="s">
        <v>323</v>
      </c>
      <c r="FC112" s="26">
        <v>11</v>
      </c>
    </row>
    <row r="113" spans="1:159" s="26" customFormat="1" x14ac:dyDescent="0.25">
      <c r="A113" s="26">
        <v>11</v>
      </c>
      <c r="B113" s="26" t="s">
        <v>294</v>
      </c>
      <c r="C113" s="26" t="s">
        <v>295</v>
      </c>
      <c r="D113" s="26">
        <v>2010</v>
      </c>
      <c r="E113" s="26">
        <v>2005</v>
      </c>
      <c r="F113" s="26" t="s">
        <v>162</v>
      </c>
      <c r="G113" s="26" t="s">
        <v>297</v>
      </c>
      <c r="H113" s="26">
        <v>39.03</v>
      </c>
      <c r="I113" s="26">
        <v>-76.91</v>
      </c>
      <c r="J113" s="26">
        <v>34.6</v>
      </c>
      <c r="P113" s="52" t="s">
        <v>179</v>
      </c>
      <c r="Q113" s="52"/>
      <c r="R113" s="52" t="s">
        <v>285</v>
      </c>
      <c r="S113" s="52" t="s">
        <v>1647</v>
      </c>
      <c r="T113" s="52" t="s">
        <v>1647</v>
      </c>
      <c r="V113" s="26">
        <f t="shared" si="10"/>
        <v>73</v>
      </c>
      <c r="W113" s="26">
        <f t="shared" si="11"/>
        <v>17</v>
      </c>
      <c r="X113" s="26" t="s">
        <v>298</v>
      </c>
      <c r="AB113" s="26" t="s">
        <v>1552</v>
      </c>
      <c r="AC113" s="26" t="s">
        <v>301</v>
      </c>
      <c r="AD113" s="153" t="str">
        <f t="shared" si="5"/>
        <v>Vetch</v>
      </c>
      <c r="AE113" s="26" t="s">
        <v>300</v>
      </c>
      <c r="AM113" s="26" t="s">
        <v>299</v>
      </c>
      <c r="AN113" s="26" t="s">
        <v>299</v>
      </c>
      <c r="AO113" s="26" t="s">
        <v>230</v>
      </c>
      <c r="AP113" s="26" t="s">
        <v>296</v>
      </c>
      <c r="AQ113" s="26">
        <v>4</v>
      </c>
      <c r="AR113" s="26">
        <v>4</v>
      </c>
      <c r="AS113" s="26" t="s">
        <v>177</v>
      </c>
      <c r="AW113" s="63"/>
      <c r="BB113" s="26">
        <v>56000</v>
      </c>
      <c r="BC113" s="26">
        <v>56000</v>
      </c>
      <c r="DS113" s="26">
        <f t="shared" si="12"/>
        <v>342.50041099999999</v>
      </c>
      <c r="DT113" s="26">
        <f>20.38*22.7273</f>
        <v>463.18237399999998</v>
      </c>
      <c r="DU113" s="26" t="s">
        <v>323</v>
      </c>
      <c r="FC113" s="26">
        <v>11</v>
      </c>
    </row>
    <row r="114" spans="1:159" s="26" customFormat="1" x14ac:dyDescent="0.25">
      <c r="A114" s="26">
        <v>11</v>
      </c>
      <c r="B114" s="26" t="s">
        <v>294</v>
      </c>
      <c r="C114" s="26" t="s">
        <v>295</v>
      </c>
      <c r="D114" s="26">
        <v>2010</v>
      </c>
      <c r="E114" s="26">
        <v>2005</v>
      </c>
      <c r="F114" s="26" t="s">
        <v>162</v>
      </c>
      <c r="G114" s="26" t="s">
        <v>297</v>
      </c>
      <c r="H114" s="26">
        <v>39.03</v>
      </c>
      <c r="I114" s="26">
        <v>-76.91</v>
      </c>
      <c r="J114" s="26">
        <v>34.6</v>
      </c>
      <c r="P114" s="52" t="s">
        <v>179</v>
      </c>
      <c r="Q114" s="52"/>
      <c r="R114" s="52" t="s">
        <v>285</v>
      </c>
      <c r="S114" s="52" t="s">
        <v>1647</v>
      </c>
      <c r="T114" s="52" t="s">
        <v>1647</v>
      </c>
      <c r="V114" s="26">
        <f t="shared" si="10"/>
        <v>73</v>
      </c>
      <c r="W114" s="26">
        <f t="shared" si="11"/>
        <v>17</v>
      </c>
      <c r="X114" s="26" t="s">
        <v>298</v>
      </c>
      <c r="AB114" s="26" t="s">
        <v>1552</v>
      </c>
      <c r="AC114" s="26" t="s">
        <v>1809</v>
      </c>
      <c r="AD114" s="153" t="str">
        <f t="shared" si="5"/>
        <v>Vetch_roots</v>
      </c>
      <c r="AE114" s="26" t="s">
        <v>300</v>
      </c>
      <c r="AM114" s="26" t="s">
        <v>299</v>
      </c>
      <c r="AN114" s="26" t="s">
        <v>299</v>
      </c>
      <c r="AO114" s="26" t="s">
        <v>230</v>
      </c>
      <c r="AP114" s="26" t="s">
        <v>296</v>
      </c>
      <c r="AQ114" s="26">
        <v>4</v>
      </c>
      <c r="AR114" s="26">
        <v>4</v>
      </c>
      <c r="AS114" s="26" t="s">
        <v>177</v>
      </c>
      <c r="AW114" s="63"/>
      <c r="BB114" s="26">
        <v>56000</v>
      </c>
      <c r="BC114" s="26">
        <v>44400</v>
      </c>
      <c r="DS114" s="26">
        <f t="shared" si="12"/>
        <v>342.50041099999999</v>
      </c>
      <c r="DT114" s="26">
        <f>19.04*22.7273</f>
        <v>432.72779199999997</v>
      </c>
      <c r="DU114" s="26" t="s">
        <v>323</v>
      </c>
      <c r="FC114" s="26">
        <v>11</v>
      </c>
    </row>
    <row r="115" spans="1:159" s="26" customFormat="1" x14ac:dyDescent="0.25">
      <c r="A115" s="26">
        <v>11</v>
      </c>
      <c r="B115" s="26" t="s">
        <v>294</v>
      </c>
      <c r="C115" s="26" t="s">
        <v>295</v>
      </c>
      <c r="D115" s="26">
        <v>2010</v>
      </c>
      <c r="E115" s="26">
        <v>2005</v>
      </c>
      <c r="F115" s="26" t="s">
        <v>162</v>
      </c>
      <c r="G115" s="26" t="s">
        <v>297</v>
      </c>
      <c r="H115" s="26">
        <v>39.03</v>
      </c>
      <c r="I115" s="26">
        <v>-76.91</v>
      </c>
      <c r="J115" s="26">
        <v>34.6</v>
      </c>
      <c r="P115" s="52" t="s">
        <v>179</v>
      </c>
      <c r="Q115" s="52"/>
      <c r="R115" s="52" t="s">
        <v>285</v>
      </c>
      <c r="S115" s="52" t="s">
        <v>1647</v>
      </c>
      <c r="T115" s="52" t="s">
        <v>1647</v>
      </c>
      <c r="V115" s="26">
        <f t="shared" si="10"/>
        <v>73</v>
      </c>
      <c r="W115" s="26">
        <f t="shared" si="11"/>
        <v>17</v>
      </c>
      <c r="X115" s="26" t="s">
        <v>298</v>
      </c>
      <c r="AB115" s="26" t="s">
        <v>1552</v>
      </c>
      <c r="AC115" s="26" t="s">
        <v>1810</v>
      </c>
      <c r="AD115" s="153" t="str">
        <f t="shared" si="5"/>
        <v>Vetch_shoots</v>
      </c>
      <c r="AE115" s="26" t="s">
        <v>300</v>
      </c>
      <c r="AM115" s="26" t="s">
        <v>299</v>
      </c>
      <c r="AN115" s="26" t="s">
        <v>299</v>
      </c>
      <c r="AO115" s="26" t="s">
        <v>230</v>
      </c>
      <c r="AP115" s="26" t="s">
        <v>296</v>
      </c>
      <c r="AQ115" s="26">
        <v>4</v>
      </c>
      <c r="AR115" s="26">
        <v>4</v>
      </c>
      <c r="AS115" s="26" t="s">
        <v>177</v>
      </c>
      <c r="AW115" s="63"/>
      <c r="BB115" s="26">
        <v>56000</v>
      </c>
      <c r="BC115" s="26">
        <v>62300</v>
      </c>
      <c r="DS115" s="26">
        <f t="shared" si="12"/>
        <v>342.50041099999999</v>
      </c>
      <c r="DT115" s="26">
        <f>17.39*22.7273</f>
        <v>395.22774700000002</v>
      </c>
      <c r="DU115" s="26" t="s">
        <v>323</v>
      </c>
      <c r="FC115" s="26">
        <v>11</v>
      </c>
    </row>
    <row r="116" spans="1:159" s="22" customFormat="1" x14ac:dyDescent="0.25">
      <c r="A116" s="26">
        <v>11</v>
      </c>
      <c r="B116" s="26" t="s">
        <v>294</v>
      </c>
      <c r="C116" s="26" t="s">
        <v>295</v>
      </c>
      <c r="D116" s="26">
        <v>2010</v>
      </c>
      <c r="E116" s="26">
        <v>2006</v>
      </c>
      <c r="F116" s="26" t="s">
        <v>162</v>
      </c>
      <c r="G116" s="26" t="s">
        <v>297</v>
      </c>
      <c r="H116" s="26">
        <v>39.03</v>
      </c>
      <c r="I116" s="26">
        <v>-76.91</v>
      </c>
      <c r="J116" s="26">
        <v>34.6</v>
      </c>
      <c r="K116" s="26"/>
      <c r="L116" s="26"/>
      <c r="M116" s="26"/>
      <c r="N116" s="26"/>
      <c r="O116" s="26"/>
      <c r="P116" s="52" t="s">
        <v>180</v>
      </c>
      <c r="Q116" s="52"/>
      <c r="R116" s="52" t="s">
        <v>285</v>
      </c>
      <c r="S116" s="52" t="s">
        <v>1647</v>
      </c>
      <c r="T116" s="52" t="s">
        <v>1647</v>
      </c>
      <c r="U116" s="26"/>
      <c r="V116" s="26">
        <f t="shared" si="10"/>
        <v>73</v>
      </c>
      <c r="W116" s="26">
        <f t="shared" si="11"/>
        <v>17</v>
      </c>
      <c r="X116" s="26" t="s">
        <v>298</v>
      </c>
      <c r="Y116" s="26"/>
      <c r="Z116" s="26"/>
      <c r="AA116" s="26"/>
      <c r="AB116" s="26" t="s">
        <v>1552</v>
      </c>
      <c r="AC116" s="26" t="s">
        <v>166</v>
      </c>
      <c r="AD116" s="153" t="str">
        <f t="shared" si="5"/>
        <v>Rye</v>
      </c>
      <c r="AE116" s="26" t="s">
        <v>300</v>
      </c>
      <c r="AF116" s="26"/>
      <c r="AG116" s="26"/>
      <c r="AH116" s="26"/>
      <c r="AI116" s="26"/>
      <c r="AJ116" s="26"/>
      <c r="AK116" s="26"/>
      <c r="AL116" s="26"/>
      <c r="AM116" s="26" t="s">
        <v>299</v>
      </c>
      <c r="AN116" s="26" t="s">
        <v>299</v>
      </c>
      <c r="AO116" s="26" t="s">
        <v>230</v>
      </c>
      <c r="AP116" s="26" t="s">
        <v>296</v>
      </c>
      <c r="AQ116" s="26">
        <v>4</v>
      </c>
      <c r="AR116" s="26">
        <v>4</v>
      </c>
      <c r="AS116" s="26" t="s">
        <v>177</v>
      </c>
      <c r="AW116" s="64"/>
      <c r="BB116" s="22">
        <v>83900</v>
      </c>
      <c r="BC116" s="22">
        <v>80700</v>
      </c>
      <c r="DS116" s="12"/>
      <c r="DU116" s="15"/>
      <c r="EW116" s="26"/>
      <c r="EX116" s="26"/>
      <c r="EY116" s="26"/>
      <c r="EZ116" s="26"/>
      <c r="FC116" s="26">
        <v>11</v>
      </c>
    </row>
    <row r="117" spans="1:159" s="22" customFormat="1" x14ac:dyDescent="0.25">
      <c r="A117" s="26">
        <v>11</v>
      </c>
      <c r="B117" s="26" t="s">
        <v>294</v>
      </c>
      <c r="C117" s="26" t="s">
        <v>295</v>
      </c>
      <c r="D117" s="26">
        <v>2010</v>
      </c>
      <c r="E117" s="26">
        <v>2006</v>
      </c>
      <c r="F117" s="26" t="s">
        <v>162</v>
      </c>
      <c r="G117" s="26" t="s">
        <v>297</v>
      </c>
      <c r="H117" s="26">
        <v>39.03</v>
      </c>
      <c r="I117" s="26">
        <v>-76.91</v>
      </c>
      <c r="J117" s="26">
        <v>34.6</v>
      </c>
      <c r="K117" s="26"/>
      <c r="L117" s="26"/>
      <c r="M117" s="26"/>
      <c r="N117" s="26"/>
      <c r="O117" s="26"/>
      <c r="P117" s="52" t="s">
        <v>180</v>
      </c>
      <c r="Q117" s="52"/>
      <c r="R117" s="52" t="s">
        <v>285</v>
      </c>
      <c r="S117" s="52" t="s">
        <v>1647</v>
      </c>
      <c r="T117" s="52" t="s">
        <v>1647</v>
      </c>
      <c r="U117" s="26"/>
      <c r="V117" s="26">
        <f t="shared" si="10"/>
        <v>73</v>
      </c>
      <c r="W117" s="26">
        <f t="shared" si="11"/>
        <v>17</v>
      </c>
      <c r="X117" s="26" t="s">
        <v>298</v>
      </c>
      <c r="Y117" s="26"/>
      <c r="Z117" s="26"/>
      <c r="AA117" s="26"/>
      <c r="AB117" s="26" t="s">
        <v>1552</v>
      </c>
      <c r="AC117" s="26" t="s">
        <v>1807</v>
      </c>
      <c r="AD117" s="153" t="str">
        <f t="shared" si="5"/>
        <v>Rye_roots</v>
      </c>
      <c r="AE117" s="26" t="s">
        <v>300</v>
      </c>
      <c r="AF117" s="26"/>
      <c r="AG117" s="26"/>
      <c r="AH117" s="26"/>
      <c r="AI117" s="26"/>
      <c r="AJ117" s="26"/>
      <c r="AK117" s="26"/>
      <c r="AL117" s="26"/>
      <c r="AM117" s="26" t="s">
        <v>299</v>
      </c>
      <c r="AN117" s="26" t="s">
        <v>299</v>
      </c>
      <c r="AO117" s="26" t="s">
        <v>230</v>
      </c>
      <c r="AP117" s="26" t="s">
        <v>296</v>
      </c>
      <c r="AQ117" s="26">
        <v>4</v>
      </c>
      <c r="AR117" s="26">
        <v>4</v>
      </c>
      <c r="AS117" s="26" t="s">
        <v>177</v>
      </c>
      <c r="AW117" s="64"/>
      <c r="BB117" s="22">
        <v>83900</v>
      </c>
      <c r="BC117" s="22">
        <v>70900</v>
      </c>
      <c r="DS117" s="12"/>
      <c r="DU117" s="15"/>
      <c r="EW117" s="26"/>
      <c r="EX117" s="26"/>
      <c r="EY117" s="26"/>
      <c r="EZ117" s="26"/>
      <c r="FC117" s="26">
        <v>11</v>
      </c>
    </row>
    <row r="118" spans="1:159" s="22" customFormat="1" x14ac:dyDescent="0.25">
      <c r="A118" s="26">
        <v>11</v>
      </c>
      <c r="B118" s="26" t="s">
        <v>294</v>
      </c>
      <c r="C118" s="26" t="s">
        <v>295</v>
      </c>
      <c r="D118" s="26">
        <v>2010</v>
      </c>
      <c r="E118" s="26">
        <v>2006</v>
      </c>
      <c r="F118" s="26" t="s">
        <v>162</v>
      </c>
      <c r="G118" s="26" t="s">
        <v>297</v>
      </c>
      <c r="H118" s="26">
        <v>39.03</v>
      </c>
      <c r="I118" s="26">
        <v>-76.91</v>
      </c>
      <c r="J118" s="26">
        <v>34.6</v>
      </c>
      <c r="K118" s="26"/>
      <c r="L118" s="26"/>
      <c r="M118" s="26"/>
      <c r="N118" s="26"/>
      <c r="O118" s="26"/>
      <c r="P118" s="52" t="s">
        <v>180</v>
      </c>
      <c r="Q118" s="52"/>
      <c r="R118" s="52" t="s">
        <v>285</v>
      </c>
      <c r="S118" s="52" t="s">
        <v>1647</v>
      </c>
      <c r="T118" s="52" t="s">
        <v>1647</v>
      </c>
      <c r="U118" s="26"/>
      <c r="V118" s="26">
        <f t="shared" si="10"/>
        <v>73</v>
      </c>
      <c r="W118" s="26">
        <f t="shared" si="11"/>
        <v>17</v>
      </c>
      <c r="X118" s="26" t="s">
        <v>298</v>
      </c>
      <c r="Y118" s="26"/>
      <c r="Z118" s="26"/>
      <c r="AA118" s="26"/>
      <c r="AB118" s="26" t="s">
        <v>1552</v>
      </c>
      <c r="AC118" s="26" t="s">
        <v>1808</v>
      </c>
      <c r="AD118" s="153" t="str">
        <f t="shared" si="5"/>
        <v>Rye_shoots</v>
      </c>
      <c r="AE118" s="26" t="s">
        <v>300</v>
      </c>
      <c r="AF118" s="26"/>
      <c r="AG118" s="26"/>
      <c r="AH118" s="26"/>
      <c r="AI118" s="26"/>
      <c r="AJ118" s="26"/>
      <c r="AK118" s="26"/>
      <c r="AL118" s="26"/>
      <c r="AM118" s="26" t="s">
        <v>299</v>
      </c>
      <c r="AN118" s="26" t="s">
        <v>299</v>
      </c>
      <c r="AO118" s="26" t="s">
        <v>230</v>
      </c>
      <c r="AP118" s="26" t="s">
        <v>296</v>
      </c>
      <c r="AQ118" s="26">
        <v>4</v>
      </c>
      <c r="AR118" s="26">
        <v>4</v>
      </c>
      <c r="AS118" s="26" t="s">
        <v>177</v>
      </c>
      <c r="AW118" s="64"/>
      <c r="BB118" s="22">
        <v>83900</v>
      </c>
      <c r="BC118" s="22">
        <v>84100</v>
      </c>
      <c r="DS118" s="12"/>
      <c r="DU118" s="15"/>
      <c r="EW118" s="26"/>
      <c r="EX118" s="26"/>
      <c r="EY118" s="26"/>
      <c r="EZ118" s="26"/>
      <c r="FC118" s="26">
        <v>11</v>
      </c>
    </row>
    <row r="119" spans="1:159" s="22" customFormat="1" x14ac:dyDescent="0.25">
      <c r="A119" s="26">
        <v>11</v>
      </c>
      <c r="B119" s="26" t="s">
        <v>294</v>
      </c>
      <c r="C119" s="26" t="s">
        <v>295</v>
      </c>
      <c r="D119" s="26">
        <v>2010</v>
      </c>
      <c r="E119" s="26">
        <v>2006</v>
      </c>
      <c r="F119" s="26" t="s">
        <v>162</v>
      </c>
      <c r="G119" s="26" t="s">
        <v>297</v>
      </c>
      <c r="H119" s="26">
        <v>39.03</v>
      </c>
      <c r="I119" s="26">
        <v>-76.91</v>
      </c>
      <c r="J119" s="26">
        <v>34.6</v>
      </c>
      <c r="K119" s="26"/>
      <c r="L119" s="26"/>
      <c r="M119" s="26"/>
      <c r="N119" s="26"/>
      <c r="O119" s="26"/>
      <c r="P119" s="52" t="s">
        <v>180</v>
      </c>
      <c r="Q119" s="52"/>
      <c r="R119" s="52" t="s">
        <v>285</v>
      </c>
      <c r="S119" s="52" t="s">
        <v>1647</v>
      </c>
      <c r="T119" s="52" t="s">
        <v>1647</v>
      </c>
      <c r="U119" s="26"/>
      <c r="V119" s="26">
        <f t="shared" si="10"/>
        <v>73</v>
      </c>
      <c r="W119" s="26">
        <f t="shared" si="11"/>
        <v>17</v>
      </c>
      <c r="X119" s="26" t="s">
        <v>298</v>
      </c>
      <c r="Y119" s="26"/>
      <c r="Z119" s="26"/>
      <c r="AA119" s="26"/>
      <c r="AB119" s="26" t="s">
        <v>1552</v>
      </c>
      <c r="AC119" s="26" t="s">
        <v>301</v>
      </c>
      <c r="AD119" s="153" t="str">
        <f t="shared" si="5"/>
        <v>Vetch</v>
      </c>
      <c r="AE119" s="26" t="s">
        <v>300</v>
      </c>
      <c r="AF119" s="26"/>
      <c r="AG119" s="26"/>
      <c r="AH119" s="26"/>
      <c r="AI119" s="26"/>
      <c r="AJ119" s="26"/>
      <c r="AK119" s="26"/>
      <c r="AL119" s="26"/>
      <c r="AM119" s="26" t="s">
        <v>299</v>
      </c>
      <c r="AN119" s="26" t="s">
        <v>299</v>
      </c>
      <c r="AO119" s="26" t="s">
        <v>230</v>
      </c>
      <c r="AP119" s="26" t="s">
        <v>296</v>
      </c>
      <c r="AQ119" s="26">
        <v>4</v>
      </c>
      <c r="AR119" s="26">
        <v>4</v>
      </c>
      <c r="AS119" s="26" t="s">
        <v>177</v>
      </c>
      <c r="AW119" s="64"/>
      <c r="BB119" s="22">
        <v>83900</v>
      </c>
      <c r="BC119" s="22">
        <v>82100</v>
      </c>
      <c r="DS119" s="12"/>
      <c r="DU119" s="15"/>
      <c r="EW119" s="26"/>
      <c r="EX119" s="26"/>
      <c r="EY119" s="26"/>
      <c r="EZ119" s="26"/>
      <c r="FC119" s="26">
        <v>11</v>
      </c>
    </row>
    <row r="120" spans="1:159" s="22" customFormat="1" x14ac:dyDescent="0.25">
      <c r="A120" s="26">
        <v>11</v>
      </c>
      <c r="B120" s="26" t="s">
        <v>294</v>
      </c>
      <c r="C120" s="26" t="s">
        <v>295</v>
      </c>
      <c r="D120" s="26">
        <v>2010</v>
      </c>
      <c r="E120" s="26">
        <v>2006</v>
      </c>
      <c r="F120" s="26" t="s">
        <v>162</v>
      </c>
      <c r="G120" s="26" t="s">
        <v>297</v>
      </c>
      <c r="H120" s="26">
        <v>39.03</v>
      </c>
      <c r="I120" s="26">
        <v>-76.91</v>
      </c>
      <c r="J120" s="26">
        <v>34.6</v>
      </c>
      <c r="K120" s="26"/>
      <c r="L120" s="26"/>
      <c r="M120" s="26"/>
      <c r="N120" s="26"/>
      <c r="O120" s="26"/>
      <c r="P120" s="52" t="s">
        <v>180</v>
      </c>
      <c r="Q120" s="52"/>
      <c r="R120" s="52" t="s">
        <v>285</v>
      </c>
      <c r="S120" s="52" t="s">
        <v>1647</v>
      </c>
      <c r="T120" s="52" t="s">
        <v>1647</v>
      </c>
      <c r="U120" s="26"/>
      <c r="V120" s="26">
        <f t="shared" si="10"/>
        <v>73</v>
      </c>
      <c r="W120" s="26">
        <f t="shared" si="11"/>
        <v>17</v>
      </c>
      <c r="X120" s="26" t="s">
        <v>298</v>
      </c>
      <c r="Y120" s="26"/>
      <c r="Z120" s="26"/>
      <c r="AA120" s="26"/>
      <c r="AB120" s="26" t="s">
        <v>1552</v>
      </c>
      <c r="AC120" s="26" t="s">
        <v>1809</v>
      </c>
      <c r="AD120" s="153" t="str">
        <f t="shared" si="5"/>
        <v>Vetch_roots</v>
      </c>
      <c r="AE120" s="26" t="s">
        <v>300</v>
      </c>
      <c r="AF120" s="26"/>
      <c r="AG120" s="26"/>
      <c r="AH120" s="26"/>
      <c r="AI120" s="26"/>
      <c r="AJ120" s="26"/>
      <c r="AK120" s="26"/>
      <c r="AL120" s="26"/>
      <c r="AM120" s="26" t="s">
        <v>299</v>
      </c>
      <c r="AN120" s="26" t="s">
        <v>299</v>
      </c>
      <c r="AO120" s="26" t="s">
        <v>230</v>
      </c>
      <c r="AP120" s="26" t="s">
        <v>296</v>
      </c>
      <c r="AQ120" s="26">
        <v>4</v>
      </c>
      <c r="AR120" s="26">
        <v>4</v>
      </c>
      <c r="AS120" s="26" t="s">
        <v>177</v>
      </c>
      <c r="AW120" s="64"/>
      <c r="BB120" s="22">
        <v>83900</v>
      </c>
      <c r="BC120" s="22">
        <v>59300</v>
      </c>
      <c r="DS120" s="12"/>
      <c r="DU120" s="15"/>
      <c r="EW120" s="26"/>
      <c r="EX120" s="26"/>
      <c r="EY120" s="26"/>
      <c r="EZ120" s="26"/>
      <c r="FC120" s="26">
        <v>11</v>
      </c>
    </row>
    <row r="121" spans="1:159" s="22" customFormat="1" x14ac:dyDescent="0.25">
      <c r="A121" s="26">
        <v>11</v>
      </c>
      <c r="B121" s="26" t="s">
        <v>294</v>
      </c>
      <c r="C121" s="26" t="s">
        <v>295</v>
      </c>
      <c r="D121" s="26">
        <v>2010</v>
      </c>
      <c r="E121" s="26">
        <v>2006</v>
      </c>
      <c r="F121" s="26" t="s">
        <v>162</v>
      </c>
      <c r="G121" s="26" t="s">
        <v>297</v>
      </c>
      <c r="H121" s="26">
        <v>39.03</v>
      </c>
      <c r="I121" s="26">
        <v>-76.91</v>
      </c>
      <c r="J121" s="26">
        <v>34.6</v>
      </c>
      <c r="K121" s="26"/>
      <c r="L121" s="26"/>
      <c r="M121" s="26"/>
      <c r="N121" s="26"/>
      <c r="O121" s="26"/>
      <c r="P121" s="52" t="s">
        <v>180</v>
      </c>
      <c r="Q121" s="52"/>
      <c r="R121" s="52" t="s">
        <v>285</v>
      </c>
      <c r="S121" s="52" t="s">
        <v>1647</v>
      </c>
      <c r="T121" s="52" t="s">
        <v>1647</v>
      </c>
      <c r="U121" s="26"/>
      <c r="V121" s="26">
        <f t="shared" si="10"/>
        <v>73</v>
      </c>
      <c r="W121" s="26">
        <f t="shared" si="11"/>
        <v>17</v>
      </c>
      <c r="X121" s="26" t="s">
        <v>298</v>
      </c>
      <c r="Y121" s="26"/>
      <c r="Z121" s="26"/>
      <c r="AA121" s="26"/>
      <c r="AB121" s="26" t="s">
        <v>1552</v>
      </c>
      <c r="AC121" s="26" t="s">
        <v>1810</v>
      </c>
      <c r="AD121" s="153" t="str">
        <f t="shared" si="5"/>
        <v>Vetch_shoots</v>
      </c>
      <c r="AE121" s="26" t="s">
        <v>300</v>
      </c>
      <c r="AF121" s="26"/>
      <c r="AG121" s="26"/>
      <c r="AH121" s="26"/>
      <c r="AI121" s="26"/>
      <c r="AJ121" s="26"/>
      <c r="AK121" s="26"/>
      <c r="AL121" s="26"/>
      <c r="AM121" s="26" t="s">
        <v>299</v>
      </c>
      <c r="AN121" s="26" t="s">
        <v>299</v>
      </c>
      <c r="AO121" s="26" t="s">
        <v>230</v>
      </c>
      <c r="AP121" s="26" t="s">
        <v>296</v>
      </c>
      <c r="AQ121" s="26">
        <v>4</v>
      </c>
      <c r="AR121" s="26">
        <v>4</v>
      </c>
      <c r="AS121" s="26" t="s">
        <v>177</v>
      </c>
      <c r="AW121" s="64"/>
      <c r="BB121" s="22">
        <v>83900</v>
      </c>
      <c r="BC121" s="22">
        <v>82600</v>
      </c>
      <c r="DS121" s="12"/>
      <c r="DU121" s="15"/>
      <c r="EW121" s="26"/>
      <c r="EX121" s="26"/>
      <c r="EY121" s="26"/>
      <c r="EZ121" s="26"/>
      <c r="FC121" s="26">
        <v>11</v>
      </c>
    </row>
    <row r="122" spans="1:159" s="22" customFormat="1" x14ac:dyDescent="0.25">
      <c r="A122" s="26">
        <v>11</v>
      </c>
      <c r="B122" s="26" t="s">
        <v>294</v>
      </c>
      <c r="C122" s="26" t="s">
        <v>295</v>
      </c>
      <c r="D122" s="26">
        <v>2010</v>
      </c>
      <c r="E122" s="26">
        <v>2007</v>
      </c>
      <c r="F122" s="26" t="s">
        <v>162</v>
      </c>
      <c r="G122" s="26" t="s">
        <v>297</v>
      </c>
      <c r="H122" s="26">
        <v>39.03</v>
      </c>
      <c r="I122" s="26">
        <v>-76.91</v>
      </c>
      <c r="J122" s="26">
        <v>34.6</v>
      </c>
      <c r="K122" s="26"/>
      <c r="L122" s="26"/>
      <c r="M122" s="26"/>
      <c r="N122" s="26"/>
      <c r="O122" s="26"/>
      <c r="P122" s="52" t="s">
        <v>181</v>
      </c>
      <c r="Q122" s="52"/>
      <c r="R122" s="52" t="s">
        <v>285</v>
      </c>
      <c r="S122" s="52" t="s">
        <v>1647</v>
      </c>
      <c r="T122" s="52" t="s">
        <v>1647</v>
      </c>
      <c r="U122" s="26"/>
      <c r="V122" s="26">
        <f t="shared" si="10"/>
        <v>73</v>
      </c>
      <c r="W122" s="26">
        <f t="shared" si="11"/>
        <v>17</v>
      </c>
      <c r="X122" s="26" t="s">
        <v>298</v>
      </c>
      <c r="Y122" s="26"/>
      <c r="Z122" s="26"/>
      <c r="AA122" s="26"/>
      <c r="AB122" s="26" t="s">
        <v>1552</v>
      </c>
      <c r="AC122" s="26" t="s">
        <v>166</v>
      </c>
      <c r="AD122" s="153" t="str">
        <f t="shared" si="5"/>
        <v>Rye</v>
      </c>
      <c r="AE122" s="26" t="s">
        <v>300</v>
      </c>
      <c r="AF122" s="26"/>
      <c r="AG122" s="26"/>
      <c r="AH122" s="26"/>
      <c r="AI122" s="26"/>
      <c r="AJ122" s="26"/>
      <c r="AK122" s="26"/>
      <c r="AL122" s="26"/>
      <c r="AM122" s="26" t="s">
        <v>299</v>
      </c>
      <c r="AN122" s="26" t="s">
        <v>299</v>
      </c>
      <c r="AO122" s="26" t="s">
        <v>230</v>
      </c>
      <c r="AP122" s="26" t="s">
        <v>296</v>
      </c>
      <c r="AQ122" s="26">
        <v>4</v>
      </c>
      <c r="AR122" s="26">
        <v>4</v>
      </c>
      <c r="AS122" s="26" t="s">
        <v>177</v>
      </c>
      <c r="AW122" s="64"/>
      <c r="BB122" s="22">
        <v>88000</v>
      </c>
      <c r="BC122" s="22">
        <v>77800</v>
      </c>
      <c r="DS122" s="12"/>
      <c r="DU122" s="15"/>
      <c r="EW122" s="26"/>
      <c r="EX122" s="26"/>
      <c r="EY122" s="26"/>
      <c r="EZ122" s="26"/>
      <c r="FC122" s="26">
        <v>11</v>
      </c>
    </row>
    <row r="123" spans="1:159" s="22" customFormat="1" x14ac:dyDescent="0.25">
      <c r="A123" s="26">
        <v>11</v>
      </c>
      <c r="B123" s="26" t="s">
        <v>294</v>
      </c>
      <c r="C123" s="26" t="s">
        <v>295</v>
      </c>
      <c r="D123" s="26">
        <v>2010</v>
      </c>
      <c r="E123" s="26">
        <v>2007</v>
      </c>
      <c r="F123" s="26" t="s">
        <v>162</v>
      </c>
      <c r="G123" s="26" t="s">
        <v>297</v>
      </c>
      <c r="H123" s="26">
        <v>39.03</v>
      </c>
      <c r="I123" s="26">
        <v>-76.91</v>
      </c>
      <c r="J123" s="26">
        <v>34.6</v>
      </c>
      <c r="K123" s="26"/>
      <c r="L123" s="26"/>
      <c r="M123" s="26"/>
      <c r="N123" s="26"/>
      <c r="O123" s="26"/>
      <c r="P123" s="52" t="s">
        <v>181</v>
      </c>
      <c r="Q123" s="52"/>
      <c r="R123" s="52" t="s">
        <v>285</v>
      </c>
      <c r="S123" s="52" t="s">
        <v>1647</v>
      </c>
      <c r="T123" s="52" t="s">
        <v>1647</v>
      </c>
      <c r="U123" s="26"/>
      <c r="V123" s="26">
        <f t="shared" si="10"/>
        <v>73</v>
      </c>
      <c r="W123" s="26">
        <f t="shared" si="11"/>
        <v>17</v>
      </c>
      <c r="X123" s="26" t="s">
        <v>298</v>
      </c>
      <c r="Y123" s="26"/>
      <c r="Z123" s="26"/>
      <c r="AA123" s="26"/>
      <c r="AB123" s="26" t="s">
        <v>1552</v>
      </c>
      <c r="AC123" s="26" t="s">
        <v>1807</v>
      </c>
      <c r="AD123" s="153" t="str">
        <f t="shared" si="5"/>
        <v>Rye_roots</v>
      </c>
      <c r="AE123" s="26" t="s">
        <v>300</v>
      </c>
      <c r="AF123" s="26"/>
      <c r="AG123" s="26"/>
      <c r="AH123" s="26"/>
      <c r="AI123" s="26"/>
      <c r="AJ123" s="26"/>
      <c r="AK123" s="26"/>
      <c r="AL123" s="26"/>
      <c r="AM123" s="26" t="s">
        <v>299</v>
      </c>
      <c r="AN123" s="26" t="s">
        <v>299</v>
      </c>
      <c r="AO123" s="26" t="s">
        <v>230</v>
      </c>
      <c r="AP123" s="26" t="s">
        <v>296</v>
      </c>
      <c r="AQ123" s="26">
        <v>4</v>
      </c>
      <c r="AR123" s="26">
        <v>4</v>
      </c>
      <c r="AS123" s="26" t="s">
        <v>177</v>
      </c>
      <c r="AW123" s="64"/>
      <c r="BB123" s="22">
        <v>88000</v>
      </c>
      <c r="BC123" s="22">
        <v>65600</v>
      </c>
      <c r="DS123" s="12"/>
      <c r="DU123" s="15"/>
      <c r="EW123" s="26"/>
      <c r="EX123" s="26"/>
      <c r="EY123" s="26"/>
      <c r="EZ123" s="26"/>
      <c r="FC123" s="26">
        <v>11</v>
      </c>
    </row>
    <row r="124" spans="1:159" s="22" customFormat="1" x14ac:dyDescent="0.25">
      <c r="A124" s="26">
        <v>11</v>
      </c>
      <c r="B124" s="26" t="s">
        <v>294</v>
      </c>
      <c r="C124" s="26" t="s">
        <v>295</v>
      </c>
      <c r="D124" s="26">
        <v>2010</v>
      </c>
      <c r="E124" s="26">
        <v>2007</v>
      </c>
      <c r="F124" s="26" t="s">
        <v>162</v>
      </c>
      <c r="G124" s="26" t="s">
        <v>297</v>
      </c>
      <c r="H124" s="26">
        <v>39.03</v>
      </c>
      <c r="I124" s="26">
        <v>-76.91</v>
      </c>
      <c r="J124" s="26">
        <v>34.6</v>
      </c>
      <c r="K124" s="26"/>
      <c r="L124" s="26"/>
      <c r="M124" s="26"/>
      <c r="N124" s="26"/>
      <c r="O124" s="26"/>
      <c r="P124" s="52" t="s">
        <v>181</v>
      </c>
      <c r="Q124" s="52"/>
      <c r="R124" s="52" t="s">
        <v>285</v>
      </c>
      <c r="S124" s="52" t="s">
        <v>1647</v>
      </c>
      <c r="T124" s="52" t="s">
        <v>1647</v>
      </c>
      <c r="U124" s="26"/>
      <c r="V124" s="26">
        <f t="shared" si="10"/>
        <v>73</v>
      </c>
      <c r="W124" s="26">
        <f t="shared" si="11"/>
        <v>17</v>
      </c>
      <c r="X124" s="26" t="s">
        <v>298</v>
      </c>
      <c r="Y124" s="26"/>
      <c r="Z124" s="26"/>
      <c r="AA124" s="26"/>
      <c r="AB124" s="26" t="s">
        <v>1552</v>
      </c>
      <c r="AC124" s="26" t="s">
        <v>1808</v>
      </c>
      <c r="AD124" s="153" t="str">
        <f t="shared" si="5"/>
        <v>Rye_shoots</v>
      </c>
      <c r="AE124" s="26" t="s">
        <v>300</v>
      </c>
      <c r="AF124" s="26"/>
      <c r="AG124" s="26"/>
      <c r="AH124" s="26"/>
      <c r="AI124" s="26"/>
      <c r="AJ124" s="26"/>
      <c r="AK124" s="26"/>
      <c r="AL124" s="26"/>
      <c r="AM124" s="26" t="s">
        <v>299</v>
      </c>
      <c r="AN124" s="26" t="s">
        <v>299</v>
      </c>
      <c r="AO124" s="26" t="s">
        <v>230</v>
      </c>
      <c r="AP124" s="26" t="s">
        <v>296</v>
      </c>
      <c r="AQ124" s="26">
        <v>4</v>
      </c>
      <c r="AR124" s="26">
        <v>4</v>
      </c>
      <c r="AS124" s="26" t="s">
        <v>177</v>
      </c>
      <c r="AW124" s="64"/>
      <c r="BB124" s="22">
        <v>88000</v>
      </c>
      <c r="BC124" s="22">
        <v>82000</v>
      </c>
      <c r="DS124" s="12"/>
      <c r="DU124" s="15"/>
      <c r="EW124" s="26"/>
      <c r="EX124" s="26"/>
      <c r="EY124" s="26"/>
      <c r="EZ124" s="26"/>
      <c r="FC124" s="26">
        <v>11</v>
      </c>
    </row>
    <row r="125" spans="1:159" s="22" customFormat="1" x14ac:dyDescent="0.25">
      <c r="A125" s="26">
        <v>11</v>
      </c>
      <c r="B125" s="26" t="s">
        <v>294</v>
      </c>
      <c r="C125" s="26" t="s">
        <v>295</v>
      </c>
      <c r="D125" s="26">
        <v>2010</v>
      </c>
      <c r="E125" s="26">
        <v>2007</v>
      </c>
      <c r="F125" s="26" t="s">
        <v>162</v>
      </c>
      <c r="G125" s="26" t="s">
        <v>297</v>
      </c>
      <c r="H125" s="26">
        <v>39.03</v>
      </c>
      <c r="I125" s="26">
        <v>-76.91</v>
      </c>
      <c r="J125" s="26">
        <v>34.6</v>
      </c>
      <c r="K125" s="26"/>
      <c r="L125" s="26"/>
      <c r="M125" s="26"/>
      <c r="N125" s="26"/>
      <c r="O125" s="26"/>
      <c r="P125" s="52" t="s">
        <v>181</v>
      </c>
      <c r="Q125" s="52"/>
      <c r="R125" s="52" t="s">
        <v>285</v>
      </c>
      <c r="S125" s="52" t="s">
        <v>1647</v>
      </c>
      <c r="T125" s="52" t="s">
        <v>1647</v>
      </c>
      <c r="U125" s="26"/>
      <c r="V125" s="26">
        <f t="shared" si="10"/>
        <v>73</v>
      </c>
      <c r="W125" s="26">
        <f t="shared" si="11"/>
        <v>17</v>
      </c>
      <c r="X125" s="26" t="s">
        <v>298</v>
      </c>
      <c r="Y125" s="26"/>
      <c r="Z125" s="26"/>
      <c r="AA125" s="26"/>
      <c r="AB125" s="26" t="s">
        <v>1552</v>
      </c>
      <c r="AC125" s="26" t="s">
        <v>301</v>
      </c>
      <c r="AD125" s="153" t="str">
        <f t="shared" si="5"/>
        <v>Vetch</v>
      </c>
      <c r="AE125" s="26" t="s">
        <v>300</v>
      </c>
      <c r="AF125" s="26"/>
      <c r="AG125" s="26"/>
      <c r="AH125" s="26"/>
      <c r="AI125" s="26"/>
      <c r="AJ125" s="26"/>
      <c r="AK125" s="26"/>
      <c r="AL125" s="26"/>
      <c r="AM125" s="26" t="s">
        <v>299</v>
      </c>
      <c r="AN125" s="26" t="s">
        <v>299</v>
      </c>
      <c r="AO125" s="26" t="s">
        <v>230</v>
      </c>
      <c r="AP125" s="26" t="s">
        <v>296</v>
      </c>
      <c r="AQ125" s="26">
        <v>4</v>
      </c>
      <c r="AR125" s="26">
        <v>4</v>
      </c>
      <c r="AS125" s="26" t="s">
        <v>177</v>
      </c>
      <c r="AW125" s="64"/>
      <c r="BB125" s="22">
        <v>88000</v>
      </c>
      <c r="BC125" s="22">
        <v>92200</v>
      </c>
      <c r="DS125" s="12"/>
      <c r="DU125" s="15"/>
      <c r="EW125" s="26"/>
      <c r="EX125" s="26"/>
      <c r="EY125" s="26"/>
      <c r="EZ125" s="26"/>
      <c r="FC125" s="26">
        <v>11</v>
      </c>
    </row>
    <row r="126" spans="1:159" s="22" customFormat="1" x14ac:dyDescent="0.25">
      <c r="A126" s="26">
        <v>11</v>
      </c>
      <c r="B126" s="26" t="s">
        <v>294</v>
      </c>
      <c r="C126" s="26" t="s">
        <v>295</v>
      </c>
      <c r="D126" s="26">
        <v>2010</v>
      </c>
      <c r="E126" s="26">
        <v>2007</v>
      </c>
      <c r="F126" s="26" t="s">
        <v>162</v>
      </c>
      <c r="G126" s="26" t="s">
        <v>297</v>
      </c>
      <c r="H126" s="26">
        <v>39.03</v>
      </c>
      <c r="I126" s="26">
        <v>-76.91</v>
      </c>
      <c r="J126" s="26">
        <v>34.6</v>
      </c>
      <c r="K126" s="26"/>
      <c r="L126" s="26"/>
      <c r="M126" s="26"/>
      <c r="N126" s="26"/>
      <c r="O126" s="26"/>
      <c r="P126" s="52" t="s">
        <v>181</v>
      </c>
      <c r="Q126" s="52"/>
      <c r="R126" s="52" t="s">
        <v>285</v>
      </c>
      <c r="S126" s="52" t="s">
        <v>1647</v>
      </c>
      <c r="T126" s="52" t="s">
        <v>1647</v>
      </c>
      <c r="U126" s="26"/>
      <c r="V126" s="26">
        <f t="shared" si="10"/>
        <v>73</v>
      </c>
      <c r="W126" s="26">
        <f t="shared" si="11"/>
        <v>17</v>
      </c>
      <c r="X126" s="26" t="s">
        <v>298</v>
      </c>
      <c r="Y126" s="26"/>
      <c r="Z126" s="26"/>
      <c r="AA126" s="26"/>
      <c r="AB126" s="26" t="s">
        <v>1552</v>
      </c>
      <c r="AC126" s="26" t="s">
        <v>1809</v>
      </c>
      <c r="AD126" s="153" t="str">
        <f t="shared" si="5"/>
        <v>Vetch_roots</v>
      </c>
      <c r="AE126" s="26" t="s">
        <v>300</v>
      </c>
      <c r="AF126" s="26"/>
      <c r="AG126" s="26"/>
      <c r="AH126" s="26"/>
      <c r="AI126" s="26"/>
      <c r="AJ126" s="26"/>
      <c r="AK126" s="26"/>
      <c r="AL126" s="26"/>
      <c r="AM126" s="26" t="s">
        <v>299</v>
      </c>
      <c r="AN126" s="26" t="s">
        <v>299</v>
      </c>
      <c r="AO126" s="26" t="s">
        <v>230</v>
      </c>
      <c r="AP126" s="26" t="s">
        <v>296</v>
      </c>
      <c r="AQ126" s="26">
        <v>4</v>
      </c>
      <c r="AR126" s="26">
        <v>4</v>
      </c>
      <c r="AS126" s="26" t="s">
        <v>177</v>
      </c>
      <c r="AW126" s="64"/>
      <c r="BB126" s="22">
        <v>88000</v>
      </c>
      <c r="BC126" s="22">
        <v>80200</v>
      </c>
      <c r="DS126" s="12"/>
      <c r="DU126" s="15"/>
      <c r="EW126" s="26"/>
      <c r="EX126" s="26"/>
      <c r="EY126" s="26"/>
      <c r="EZ126" s="26"/>
      <c r="FC126" s="26">
        <v>11</v>
      </c>
    </row>
    <row r="127" spans="1:159" s="22" customFormat="1" x14ac:dyDescent="0.25">
      <c r="A127" s="26">
        <v>11</v>
      </c>
      <c r="B127" s="26" t="s">
        <v>294</v>
      </c>
      <c r="C127" s="26" t="s">
        <v>295</v>
      </c>
      <c r="D127" s="26">
        <v>2010</v>
      </c>
      <c r="E127" s="26">
        <v>2007</v>
      </c>
      <c r="F127" s="26" t="s">
        <v>162</v>
      </c>
      <c r="G127" s="26" t="s">
        <v>297</v>
      </c>
      <c r="H127" s="26">
        <v>39.03</v>
      </c>
      <c r="I127" s="26">
        <v>-76.91</v>
      </c>
      <c r="J127" s="26">
        <v>34.6</v>
      </c>
      <c r="K127" s="26"/>
      <c r="L127" s="26"/>
      <c r="M127" s="26"/>
      <c r="N127" s="26"/>
      <c r="O127" s="26"/>
      <c r="P127" s="52" t="s">
        <v>181</v>
      </c>
      <c r="Q127" s="52"/>
      <c r="R127" s="52" t="s">
        <v>285</v>
      </c>
      <c r="S127" s="52" t="s">
        <v>1647</v>
      </c>
      <c r="T127" s="52" t="s">
        <v>1647</v>
      </c>
      <c r="U127" s="26"/>
      <c r="V127" s="26">
        <f t="shared" si="10"/>
        <v>73</v>
      </c>
      <c r="W127" s="26">
        <f t="shared" si="11"/>
        <v>17</v>
      </c>
      <c r="X127" s="26" t="s">
        <v>298</v>
      </c>
      <c r="Y127" s="26"/>
      <c r="Z127" s="26"/>
      <c r="AA127" s="26"/>
      <c r="AB127" s="26" t="s">
        <v>1552</v>
      </c>
      <c r="AC127" s="26" t="s">
        <v>1810</v>
      </c>
      <c r="AD127" s="153" t="str">
        <f t="shared" si="5"/>
        <v>Vetch_shoots</v>
      </c>
      <c r="AE127" s="26" t="s">
        <v>300</v>
      </c>
      <c r="AF127" s="26"/>
      <c r="AG127" s="26"/>
      <c r="AH127" s="26"/>
      <c r="AI127" s="26"/>
      <c r="AJ127" s="26"/>
      <c r="AK127" s="26"/>
      <c r="AL127" s="26"/>
      <c r="AM127" s="26" t="s">
        <v>299</v>
      </c>
      <c r="AN127" s="26" t="s">
        <v>299</v>
      </c>
      <c r="AO127" s="26" t="s">
        <v>230</v>
      </c>
      <c r="AP127" s="26" t="s">
        <v>296</v>
      </c>
      <c r="AQ127" s="26">
        <v>4</v>
      </c>
      <c r="AR127" s="26">
        <v>4</v>
      </c>
      <c r="AS127" s="26" t="s">
        <v>177</v>
      </c>
      <c r="AW127" s="64"/>
      <c r="BB127" s="22">
        <v>88000</v>
      </c>
      <c r="BC127" s="22">
        <v>93000</v>
      </c>
      <c r="DS127" s="12"/>
      <c r="DU127" s="15"/>
      <c r="EW127" s="26"/>
      <c r="EX127" s="26"/>
      <c r="EY127" s="26"/>
      <c r="EZ127" s="26"/>
      <c r="FC127" s="26">
        <v>11</v>
      </c>
    </row>
    <row r="128" spans="1:159" s="31" customFormat="1" x14ac:dyDescent="0.25">
      <c r="A128" s="31">
        <v>12</v>
      </c>
      <c r="B128" s="31" t="s">
        <v>324</v>
      </c>
      <c r="C128" s="31" t="s">
        <v>325</v>
      </c>
      <c r="D128" s="31">
        <v>1984</v>
      </c>
      <c r="E128" s="31">
        <v>1980</v>
      </c>
      <c r="F128" s="31" t="s">
        <v>326</v>
      </c>
      <c r="G128" s="31" t="s">
        <v>332</v>
      </c>
      <c r="H128" s="31">
        <v>34.36</v>
      </c>
      <c r="I128" s="31">
        <v>-80.010000000000005</v>
      </c>
      <c r="J128" s="31">
        <v>61.3</v>
      </c>
      <c r="P128" s="56" t="s">
        <v>180</v>
      </c>
      <c r="Q128" s="56"/>
      <c r="R128" s="56"/>
      <c r="S128" s="56" t="s">
        <v>1647</v>
      </c>
      <c r="T128" s="56" t="s">
        <v>1647</v>
      </c>
      <c r="X128" s="31" t="s">
        <v>228</v>
      </c>
      <c r="AB128" s="31" t="s">
        <v>1553</v>
      </c>
      <c r="AC128" s="31" t="s">
        <v>166</v>
      </c>
      <c r="AD128" s="153" t="str">
        <f t="shared" si="5"/>
        <v>Rye</v>
      </c>
      <c r="AE128" s="31" t="s">
        <v>1631</v>
      </c>
      <c r="AJ128" s="31" t="s">
        <v>289</v>
      </c>
      <c r="AK128" s="31" t="s">
        <v>327</v>
      </c>
      <c r="AL128" s="31" t="s">
        <v>618</v>
      </c>
      <c r="AM128" s="31" t="s">
        <v>299</v>
      </c>
      <c r="AN128" s="31" t="s">
        <v>299</v>
      </c>
      <c r="AO128" s="31" t="s">
        <v>230</v>
      </c>
      <c r="AQ128" s="31">
        <v>3</v>
      </c>
      <c r="AR128" s="31">
        <v>3</v>
      </c>
      <c r="AS128" s="31" t="s">
        <v>227</v>
      </c>
      <c r="AW128" s="64"/>
      <c r="BB128" s="31">
        <f>0.85*1000</f>
        <v>850</v>
      </c>
      <c r="BC128" s="31">
        <f>0.94*1000</f>
        <v>940</v>
      </c>
      <c r="BD128" s="31" t="s">
        <v>328</v>
      </c>
      <c r="BM128" s="31" t="s">
        <v>330</v>
      </c>
      <c r="DG128" s="31">
        <f>12.35/100</f>
        <v>0.1235</v>
      </c>
      <c r="DH128" s="31">
        <f>4.74/100</f>
        <v>4.7400000000000005E-2</v>
      </c>
      <c r="DS128" s="12"/>
      <c r="DU128" s="15"/>
      <c r="FC128" s="31">
        <v>12</v>
      </c>
    </row>
    <row r="129" spans="1:159" s="31" customFormat="1" x14ac:dyDescent="0.25">
      <c r="A129" s="31">
        <v>12</v>
      </c>
      <c r="B129" s="31" t="s">
        <v>324</v>
      </c>
      <c r="C129" s="31" t="s">
        <v>325</v>
      </c>
      <c r="D129" s="31">
        <v>1984</v>
      </c>
      <c r="E129" s="31">
        <v>1980</v>
      </c>
      <c r="F129" s="31" t="s">
        <v>326</v>
      </c>
      <c r="G129" s="31" t="s">
        <v>332</v>
      </c>
      <c r="H129" s="31">
        <v>34.36</v>
      </c>
      <c r="I129" s="31">
        <v>-80.010000000000005</v>
      </c>
      <c r="J129" s="31">
        <v>61.3</v>
      </c>
      <c r="P129" s="56" t="s">
        <v>180</v>
      </c>
      <c r="Q129" s="56"/>
      <c r="R129" s="56"/>
      <c r="S129" s="56" t="s">
        <v>1647</v>
      </c>
      <c r="T129" s="56" t="s">
        <v>1647</v>
      </c>
      <c r="X129" s="31" t="s">
        <v>228</v>
      </c>
      <c r="AB129" s="31" t="s">
        <v>1553</v>
      </c>
      <c r="AC129" s="31" t="s">
        <v>166</v>
      </c>
      <c r="AD129" s="153" t="str">
        <f t="shared" si="5"/>
        <v>Rye</v>
      </c>
      <c r="AE129" s="31" t="s">
        <v>1632</v>
      </c>
      <c r="AJ129" s="31" t="s">
        <v>289</v>
      </c>
      <c r="AK129" s="31" t="s">
        <v>327</v>
      </c>
      <c r="AL129" s="31" t="s">
        <v>618</v>
      </c>
      <c r="AM129" s="31" t="s">
        <v>299</v>
      </c>
      <c r="AN129" s="31" t="s">
        <v>299</v>
      </c>
      <c r="AO129" s="31" t="s">
        <v>230</v>
      </c>
      <c r="AQ129" s="31">
        <v>3</v>
      </c>
      <c r="AR129" s="31">
        <v>3</v>
      </c>
      <c r="AS129" s="31" t="s">
        <v>227</v>
      </c>
      <c r="AW129" s="64"/>
      <c r="BB129" s="31">
        <f>1.03*1000</f>
        <v>1030</v>
      </c>
      <c r="BC129" s="31">
        <f>0.99*1000</f>
        <v>990</v>
      </c>
      <c r="BD129" s="31" t="s">
        <v>328</v>
      </c>
      <c r="BM129" s="31" t="s">
        <v>330</v>
      </c>
      <c r="DS129" s="12"/>
      <c r="DU129" s="15"/>
      <c r="FC129" s="31">
        <v>12</v>
      </c>
    </row>
    <row r="130" spans="1:159" s="31" customFormat="1" x14ac:dyDescent="0.25">
      <c r="A130" s="31">
        <v>12</v>
      </c>
      <c r="B130" s="31" t="s">
        <v>324</v>
      </c>
      <c r="C130" s="31" t="s">
        <v>325</v>
      </c>
      <c r="D130" s="31">
        <v>1984</v>
      </c>
      <c r="E130" s="31">
        <v>1980</v>
      </c>
      <c r="F130" s="31" t="s">
        <v>326</v>
      </c>
      <c r="G130" s="31" t="s">
        <v>332</v>
      </c>
      <c r="H130" s="31">
        <v>34.36</v>
      </c>
      <c r="I130" s="31">
        <v>-80.010000000000005</v>
      </c>
      <c r="J130" s="31">
        <v>61.3</v>
      </c>
      <c r="P130" s="56" t="s">
        <v>180</v>
      </c>
      <c r="Q130" s="56"/>
      <c r="R130" s="56"/>
      <c r="S130" s="56" t="s">
        <v>1647</v>
      </c>
      <c r="T130" s="56" t="s">
        <v>1647</v>
      </c>
      <c r="X130" s="31" t="s">
        <v>228</v>
      </c>
      <c r="AB130" s="31" t="s">
        <v>1553</v>
      </c>
      <c r="AC130" s="31" t="s">
        <v>166</v>
      </c>
      <c r="AD130" s="153" t="str">
        <f t="shared" si="5"/>
        <v>Rye</v>
      </c>
      <c r="AE130" s="31" t="s">
        <v>1633</v>
      </c>
      <c r="AJ130" s="31" t="s">
        <v>289</v>
      </c>
      <c r="AK130" s="31" t="s">
        <v>327</v>
      </c>
      <c r="AL130" s="31" t="s">
        <v>618</v>
      </c>
      <c r="AM130" s="31" t="s">
        <v>299</v>
      </c>
      <c r="AN130" s="31" t="s">
        <v>299</v>
      </c>
      <c r="AO130" s="31" t="s">
        <v>230</v>
      </c>
      <c r="AQ130" s="31">
        <v>3</v>
      </c>
      <c r="AR130" s="31">
        <v>3</v>
      </c>
      <c r="AS130" s="31" t="s">
        <v>227</v>
      </c>
      <c r="AW130" s="64"/>
      <c r="BB130" s="31">
        <f>1.08*1000</f>
        <v>1080</v>
      </c>
      <c r="BC130" s="31">
        <f>1.19*1000</f>
        <v>1190</v>
      </c>
      <c r="BD130" s="31" t="s">
        <v>328</v>
      </c>
      <c r="BM130" s="31" t="s">
        <v>330</v>
      </c>
      <c r="DS130" s="12"/>
      <c r="DU130" s="15"/>
      <c r="FC130" s="31">
        <v>12</v>
      </c>
    </row>
    <row r="131" spans="1:159" s="31" customFormat="1" x14ac:dyDescent="0.25">
      <c r="A131" s="31">
        <v>12</v>
      </c>
      <c r="B131" s="31" t="s">
        <v>324</v>
      </c>
      <c r="C131" s="31" t="s">
        <v>325</v>
      </c>
      <c r="D131" s="31">
        <v>1984</v>
      </c>
      <c r="E131" s="31">
        <v>1980</v>
      </c>
      <c r="F131" s="31" t="s">
        <v>326</v>
      </c>
      <c r="G131" s="31" t="s">
        <v>332</v>
      </c>
      <c r="H131" s="31">
        <v>34.36</v>
      </c>
      <c r="I131" s="31">
        <v>-80.010000000000005</v>
      </c>
      <c r="J131" s="31">
        <v>61.3</v>
      </c>
      <c r="P131" s="56" t="s">
        <v>180</v>
      </c>
      <c r="Q131" s="56"/>
      <c r="R131" s="56"/>
      <c r="S131" s="56" t="s">
        <v>1647</v>
      </c>
      <c r="T131" s="56" t="s">
        <v>1647</v>
      </c>
      <c r="X131" s="31" t="s">
        <v>228</v>
      </c>
      <c r="AB131" s="31" t="s">
        <v>1553</v>
      </c>
      <c r="AC131" s="31" t="s">
        <v>166</v>
      </c>
      <c r="AD131" s="153" t="str">
        <f t="shared" ref="AD131:AD194" si="13">IF(OR(AC131="*Rye",AC131="Rye*",AC131="Downy_brome"),"Rye",IF(OR(AC131="*Oat",AC131="Oat*",AC131="Trudan_8",AC131="*Wheat",AC131="Wheat*",AC131="Barley*",AC131="Hemp",AC131="Hemp",AC131="Triticale*",AC131="Grass",AC131="Millet"),"Grass",IF(OR(AC131="*clover",AC131="clover*",AC131="Vetch*",AC131="Vetch*",AC131="Alfalfa",AC131="Soybean",AC131="*Lentil",AC131="Lentil*",AC131="*Pea",AC131="Pea*",AC131="Lupine"),"Legume",AC131)))</f>
        <v>Rye</v>
      </c>
      <c r="AE131" s="31" t="s">
        <v>1631</v>
      </c>
      <c r="AJ131" s="31" t="s">
        <v>289</v>
      </c>
      <c r="AK131" s="31" t="s">
        <v>327</v>
      </c>
      <c r="AL131" s="31" t="s">
        <v>618</v>
      </c>
      <c r="AM131" s="31" t="s">
        <v>299</v>
      </c>
      <c r="AN131" s="31" t="s">
        <v>299</v>
      </c>
      <c r="AO131" s="31" t="s">
        <v>230</v>
      </c>
      <c r="AQ131" s="31">
        <v>3</v>
      </c>
      <c r="AR131" s="31">
        <v>3</v>
      </c>
      <c r="AS131" s="31" t="s">
        <v>227</v>
      </c>
      <c r="AW131" s="64"/>
      <c r="BB131" s="31">
        <f>0.96*1000</f>
        <v>960</v>
      </c>
      <c r="BC131" s="31">
        <f>0.84*1000</f>
        <v>840</v>
      </c>
      <c r="BD131" s="31" t="s">
        <v>329</v>
      </c>
      <c r="BM131" s="31" t="s">
        <v>330</v>
      </c>
      <c r="DS131" s="12"/>
      <c r="DU131" s="15"/>
      <c r="FC131" s="31">
        <v>12</v>
      </c>
    </row>
    <row r="132" spans="1:159" s="31" customFormat="1" x14ac:dyDescent="0.25">
      <c r="A132" s="31">
        <v>12</v>
      </c>
      <c r="B132" s="31" t="s">
        <v>324</v>
      </c>
      <c r="C132" s="31" t="s">
        <v>325</v>
      </c>
      <c r="D132" s="31">
        <v>1984</v>
      </c>
      <c r="E132" s="31">
        <v>1980</v>
      </c>
      <c r="F132" s="31" t="s">
        <v>326</v>
      </c>
      <c r="G132" s="31" t="s">
        <v>332</v>
      </c>
      <c r="H132" s="31">
        <v>34.36</v>
      </c>
      <c r="I132" s="31">
        <v>-80.010000000000005</v>
      </c>
      <c r="J132" s="31">
        <v>61.3</v>
      </c>
      <c r="P132" s="56" t="s">
        <v>180</v>
      </c>
      <c r="Q132" s="56"/>
      <c r="R132" s="56"/>
      <c r="S132" s="56" t="s">
        <v>1647</v>
      </c>
      <c r="T132" s="56" t="s">
        <v>1647</v>
      </c>
      <c r="X132" s="31" t="s">
        <v>228</v>
      </c>
      <c r="AB132" s="31" t="s">
        <v>1553</v>
      </c>
      <c r="AC132" s="31" t="s">
        <v>166</v>
      </c>
      <c r="AD132" s="153" t="str">
        <f t="shared" si="13"/>
        <v>Rye</v>
      </c>
      <c r="AE132" s="31" t="s">
        <v>1632</v>
      </c>
      <c r="AJ132" s="31" t="s">
        <v>289</v>
      </c>
      <c r="AK132" s="31" t="s">
        <v>327</v>
      </c>
      <c r="AL132" s="31" t="s">
        <v>618</v>
      </c>
      <c r="AM132" s="31" t="s">
        <v>299</v>
      </c>
      <c r="AN132" s="31" t="s">
        <v>299</v>
      </c>
      <c r="AO132" s="31" t="s">
        <v>230</v>
      </c>
      <c r="AQ132" s="31">
        <v>3</v>
      </c>
      <c r="AR132" s="31">
        <v>3</v>
      </c>
      <c r="AS132" s="31" t="s">
        <v>227</v>
      </c>
      <c r="AW132" s="64"/>
      <c r="BB132" s="31">
        <f>0.93*1000</f>
        <v>930</v>
      </c>
      <c r="BC132" s="31">
        <f>0.87*1000</f>
        <v>870</v>
      </c>
      <c r="BD132" s="31" t="s">
        <v>329</v>
      </c>
      <c r="BM132" s="31" t="s">
        <v>330</v>
      </c>
      <c r="DS132" s="12"/>
      <c r="DU132" s="15"/>
      <c r="FC132" s="31">
        <v>12</v>
      </c>
    </row>
    <row r="133" spans="1:159" s="31" customFormat="1" x14ac:dyDescent="0.25">
      <c r="A133" s="31">
        <v>12</v>
      </c>
      <c r="B133" s="31" t="s">
        <v>324</v>
      </c>
      <c r="C133" s="31" t="s">
        <v>325</v>
      </c>
      <c r="D133" s="31">
        <v>1984</v>
      </c>
      <c r="E133" s="31">
        <v>1980</v>
      </c>
      <c r="F133" s="31" t="s">
        <v>326</v>
      </c>
      <c r="G133" s="31" t="s">
        <v>332</v>
      </c>
      <c r="H133" s="31">
        <v>34.36</v>
      </c>
      <c r="I133" s="31">
        <v>-80.010000000000005</v>
      </c>
      <c r="J133" s="31">
        <v>61.3</v>
      </c>
      <c r="P133" s="56" t="s">
        <v>180</v>
      </c>
      <c r="Q133" s="56"/>
      <c r="R133" s="56"/>
      <c r="S133" s="56" t="s">
        <v>1647</v>
      </c>
      <c r="T133" s="56" t="s">
        <v>1647</v>
      </c>
      <c r="X133" s="31" t="s">
        <v>228</v>
      </c>
      <c r="AB133" s="31" t="s">
        <v>1553</v>
      </c>
      <c r="AC133" s="31" t="s">
        <v>166</v>
      </c>
      <c r="AD133" s="153" t="str">
        <f t="shared" si="13"/>
        <v>Rye</v>
      </c>
      <c r="AE133" s="31" t="s">
        <v>1633</v>
      </c>
      <c r="AJ133" s="31" t="s">
        <v>289</v>
      </c>
      <c r="AK133" s="31" t="s">
        <v>327</v>
      </c>
      <c r="AL133" s="31" t="s">
        <v>618</v>
      </c>
      <c r="AM133" s="31" t="s">
        <v>299</v>
      </c>
      <c r="AN133" s="31" t="s">
        <v>299</v>
      </c>
      <c r="AO133" s="31" t="s">
        <v>230</v>
      </c>
      <c r="AQ133" s="31">
        <v>3</v>
      </c>
      <c r="AR133" s="31">
        <v>3</v>
      </c>
      <c r="AS133" s="31" t="s">
        <v>227</v>
      </c>
      <c r="AW133" s="64"/>
      <c r="BB133" s="31">
        <f>1.01*1000</f>
        <v>1010</v>
      </c>
      <c r="BC133" s="31">
        <f>0.89*1000</f>
        <v>890</v>
      </c>
      <c r="BD133" s="31" t="s">
        <v>329</v>
      </c>
      <c r="BM133" s="31" t="s">
        <v>330</v>
      </c>
      <c r="DS133" s="12"/>
      <c r="DU133" s="15"/>
      <c r="FC133" s="31">
        <v>12</v>
      </c>
    </row>
    <row r="134" spans="1:159" s="31" customFormat="1" x14ac:dyDescent="0.25">
      <c r="A134" s="31">
        <v>12</v>
      </c>
      <c r="B134" s="31" t="s">
        <v>324</v>
      </c>
      <c r="C134" s="31" t="s">
        <v>325</v>
      </c>
      <c r="D134" s="31">
        <v>1984</v>
      </c>
      <c r="E134" s="31">
        <v>1980</v>
      </c>
      <c r="F134" s="31" t="s">
        <v>326</v>
      </c>
      <c r="G134" s="31" t="s">
        <v>332</v>
      </c>
      <c r="H134" s="31">
        <v>34.36</v>
      </c>
      <c r="I134" s="31">
        <v>-80.010000000000005</v>
      </c>
      <c r="J134" s="31">
        <v>61.3</v>
      </c>
      <c r="P134" s="56" t="s">
        <v>180</v>
      </c>
      <c r="Q134" s="56"/>
      <c r="R134" s="56"/>
      <c r="S134" s="56" t="s">
        <v>1647</v>
      </c>
      <c r="T134" s="56" t="s">
        <v>1647</v>
      </c>
      <c r="X134" s="31" t="s">
        <v>228</v>
      </c>
      <c r="AB134" s="31" t="s">
        <v>1553</v>
      </c>
      <c r="AC134" s="31" t="s">
        <v>166</v>
      </c>
      <c r="AD134" s="153" t="str">
        <f t="shared" si="13"/>
        <v>Rye</v>
      </c>
      <c r="AE134" s="31" t="s">
        <v>1631</v>
      </c>
      <c r="AJ134" s="31" t="s">
        <v>289</v>
      </c>
      <c r="AK134" s="31" t="s">
        <v>327</v>
      </c>
      <c r="AL134" s="31" t="s">
        <v>618</v>
      </c>
      <c r="AM134" s="31" t="s">
        <v>299</v>
      </c>
      <c r="AN134" s="31" t="s">
        <v>299</v>
      </c>
      <c r="AO134" s="31" t="s">
        <v>230</v>
      </c>
      <c r="AQ134" s="31">
        <v>3</v>
      </c>
      <c r="AR134" s="31">
        <v>3</v>
      </c>
      <c r="AS134" s="31" t="s">
        <v>227</v>
      </c>
      <c r="AW134" s="64"/>
      <c r="BB134" s="31">
        <f>1.01*1000</f>
        <v>1010</v>
      </c>
      <c r="BC134" s="31">
        <f>1.08*1000</f>
        <v>1080</v>
      </c>
      <c r="BD134" s="31" t="s">
        <v>328</v>
      </c>
      <c r="BM134" s="31" t="s">
        <v>331</v>
      </c>
      <c r="DS134" s="12"/>
      <c r="DU134" s="15"/>
      <c r="FC134" s="31">
        <v>12</v>
      </c>
    </row>
    <row r="135" spans="1:159" s="31" customFormat="1" x14ac:dyDescent="0.25">
      <c r="A135" s="31">
        <v>12</v>
      </c>
      <c r="B135" s="31" t="s">
        <v>324</v>
      </c>
      <c r="C135" s="31" t="s">
        <v>325</v>
      </c>
      <c r="D135" s="31">
        <v>1984</v>
      </c>
      <c r="E135" s="31">
        <v>1980</v>
      </c>
      <c r="F135" s="31" t="s">
        <v>326</v>
      </c>
      <c r="G135" s="31" t="s">
        <v>332</v>
      </c>
      <c r="H135" s="31">
        <v>34.36</v>
      </c>
      <c r="I135" s="31">
        <v>-80.010000000000005</v>
      </c>
      <c r="J135" s="31">
        <v>61.3</v>
      </c>
      <c r="P135" s="56" t="s">
        <v>180</v>
      </c>
      <c r="Q135" s="56"/>
      <c r="R135" s="56"/>
      <c r="S135" s="56" t="s">
        <v>1647</v>
      </c>
      <c r="T135" s="56" t="s">
        <v>1647</v>
      </c>
      <c r="X135" s="31" t="s">
        <v>228</v>
      </c>
      <c r="AB135" s="31" t="s">
        <v>1553</v>
      </c>
      <c r="AC135" s="31" t="s">
        <v>166</v>
      </c>
      <c r="AD135" s="153" t="str">
        <f t="shared" si="13"/>
        <v>Rye</v>
      </c>
      <c r="AE135" s="31" t="s">
        <v>1632</v>
      </c>
      <c r="AJ135" s="31" t="s">
        <v>289</v>
      </c>
      <c r="AK135" s="31" t="s">
        <v>327</v>
      </c>
      <c r="AL135" s="31" t="s">
        <v>618</v>
      </c>
      <c r="AM135" s="31" t="s">
        <v>299</v>
      </c>
      <c r="AN135" s="31" t="s">
        <v>299</v>
      </c>
      <c r="AO135" s="31" t="s">
        <v>230</v>
      </c>
      <c r="AQ135" s="31">
        <v>3</v>
      </c>
      <c r="AR135" s="31">
        <v>3</v>
      </c>
      <c r="AS135" s="31" t="s">
        <v>227</v>
      </c>
      <c r="AW135" s="64"/>
      <c r="BB135" s="31">
        <f>1.1*1000</f>
        <v>1100</v>
      </c>
      <c r="BC135" s="31">
        <f>0.81*1000</f>
        <v>810</v>
      </c>
      <c r="BD135" s="31" t="s">
        <v>328</v>
      </c>
      <c r="BM135" s="31" t="s">
        <v>331</v>
      </c>
      <c r="DS135" s="12"/>
      <c r="DU135" s="15"/>
      <c r="FC135" s="31">
        <v>12</v>
      </c>
    </row>
    <row r="136" spans="1:159" s="31" customFormat="1" x14ac:dyDescent="0.25">
      <c r="A136" s="31">
        <v>12</v>
      </c>
      <c r="B136" s="31" t="s">
        <v>324</v>
      </c>
      <c r="C136" s="31" t="s">
        <v>325</v>
      </c>
      <c r="D136" s="31">
        <v>1984</v>
      </c>
      <c r="E136" s="31">
        <v>1980</v>
      </c>
      <c r="F136" s="31" t="s">
        <v>326</v>
      </c>
      <c r="G136" s="31" t="s">
        <v>332</v>
      </c>
      <c r="H136" s="31">
        <v>34.36</v>
      </c>
      <c r="I136" s="31">
        <v>-80.010000000000005</v>
      </c>
      <c r="J136" s="31">
        <v>61.3</v>
      </c>
      <c r="P136" s="56" t="s">
        <v>180</v>
      </c>
      <c r="Q136" s="56"/>
      <c r="R136" s="56"/>
      <c r="S136" s="56" t="s">
        <v>1647</v>
      </c>
      <c r="T136" s="56" t="s">
        <v>1647</v>
      </c>
      <c r="X136" s="31" t="s">
        <v>228</v>
      </c>
      <c r="AB136" s="31" t="s">
        <v>1553</v>
      </c>
      <c r="AC136" s="31" t="s">
        <v>166</v>
      </c>
      <c r="AD136" s="153" t="str">
        <f t="shared" si="13"/>
        <v>Rye</v>
      </c>
      <c r="AE136" s="31" t="s">
        <v>1633</v>
      </c>
      <c r="AJ136" s="31" t="s">
        <v>289</v>
      </c>
      <c r="AK136" s="31" t="s">
        <v>327</v>
      </c>
      <c r="AL136" s="31" t="s">
        <v>618</v>
      </c>
      <c r="AM136" s="31" t="s">
        <v>299</v>
      </c>
      <c r="AN136" s="31" t="s">
        <v>299</v>
      </c>
      <c r="AO136" s="31" t="s">
        <v>230</v>
      </c>
      <c r="AQ136" s="31">
        <v>3</v>
      </c>
      <c r="AR136" s="31">
        <v>3</v>
      </c>
      <c r="AS136" s="31" t="s">
        <v>227</v>
      </c>
      <c r="AW136" s="64"/>
      <c r="BB136" s="31">
        <f>1.08*1000</f>
        <v>1080</v>
      </c>
      <c r="BC136" s="31">
        <f>0.92*1000</f>
        <v>920</v>
      </c>
      <c r="BD136" s="31" t="s">
        <v>328</v>
      </c>
      <c r="BM136" s="31" t="s">
        <v>331</v>
      </c>
      <c r="DS136" s="12"/>
      <c r="DU136" s="15"/>
      <c r="FC136" s="31">
        <v>12</v>
      </c>
    </row>
    <row r="137" spans="1:159" s="31" customFormat="1" x14ac:dyDescent="0.25">
      <c r="A137" s="31">
        <v>12</v>
      </c>
      <c r="B137" s="31" t="s">
        <v>324</v>
      </c>
      <c r="C137" s="31" t="s">
        <v>325</v>
      </c>
      <c r="D137" s="31">
        <v>1984</v>
      </c>
      <c r="E137" s="31">
        <v>1980</v>
      </c>
      <c r="F137" s="31" t="s">
        <v>326</v>
      </c>
      <c r="G137" s="31" t="s">
        <v>332</v>
      </c>
      <c r="H137" s="31">
        <v>34.36</v>
      </c>
      <c r="I137" s="31">
        <v>-80.010000000000005</v>
      </c>
      <c r="J137" s="31">
        <v>61.3</v>
      </c>
      <c r="P137" s="56" t="s">
        <v>180</v>
      </c>
      <c r="Q137" s="56"/>
      <c r="R137" s="56"/>
      <c r="S137" s="56" t="s">
        <v>1647</v>
      </c>
      <c r="T137" s="56" t="s">
        <v>1647</v>
      </c>
      <c r="X137" s="31" t="s">
        <v>228</v>
      </c>
      <c r="AB137" s="31" t="s">
        <v>1553</v>
      </c>
      <c r="AC137" s="31" t="s">
        <v>166</v>
      </c>
      <c r="AD137" s="153" t="str">
        <f t="shared" si="13"/>
        <v>Rye</v>
      </c>
      <c r="AE137" s="31" t="s">
        <v>1631</v>
      </c>
      <c r="AJ137" s="31" t="s">
        <v>289</v>
      </c>
      <c r="AK137" s="31" t="s">
        <v>327</v>
      </c>
      <c r="AL137" s="31" t="s">
        <v>618</v>
      </c>
      <c r="AM137" s="31" t="s">
        <v>299</v>
      </c>
      <c r="AN137" s="31" t="s">
        <v>299</v>
      </c>
      <c r="AO137" s="31" t="s">
        <v>230</v>
      </c>
      <c r="AQ137" s="31">
        <v>3</v>
      </c>
      <c r="AR137" s="31">
        <v>3</v>
      </c>
      <c r="AS137" s="31" t="s">
        <v>227</v>
      </c>
      <c r="AW137" s="64"/>
      <c r="BB137" s="31">
        <f>0.81*1000</f>
        <v>810</v>
      </c>
      <c r="BC137" s="31">
        <f>0.99*1000</f>
        <v>990</v>
      </c>
      <c r="BD137" s="31" t="s">
        <v>329</v>
      </c>
      <c r="BM137" s="31" t="s">
        <v>331</v>
      </c>
      <c r="DS137" s="12"/>
      <c r="DU137" s="15"/>
      <c r="FC137" s="31">
        <v>12</v>
      </c>
    </row>
    <row r="138" spans="1:159" s="31" customFormat="1" x14ac:dyDescent="0.25">
      <c r="A138" s="31">
        <v>12</v>
      </c>
      <c r="B138" s="31" t="s">
        <v>324</v>
      </c>
      <c r="C138" s="31" t="s">
        <v>325</v>
      </c>
      <c r="D138" s="31">
        <v>1984</v>
      </c>
      <c r="E138" s="31">
        <v>1980</v>
      </c>
      <c r="F138" s="31" t="s">
        <v>326</v>
      </c>
      <c r="G138" s="31" t="s">
        <v>332</v>
      </c>
      <c r="H138" s="31">
        <v>34.36</v>
      </c>
      <c r="I138" s="31">
        <v>-80.010000000000005</v>
      </c>
      <c r="J138" s="31">
        <v>61.3</v>
      </c>
      <c r="P138" s="56" t="s">
        <v>180</v>
      </c>
      <c r="Q138" s="56"/>
      <c r="R138" s="56"/>
      <c r="S138" s="56" t="s">
        <v>1647</v>
      </c>
      <c r="T138" s="56" t="s">
        <v>1647</v>
      </c>
      <c r="X138" s="31" t="s">
        <v>228</v>
      </c>
      <c r="AB138" s="31" t="s">
        <v>1553</v>
      </c>
      <c r="AC138" s="31" t="s">
        <v>166</v>
      </c>
      <c r="AD138" s="153" t="str">
        <f t="shared" si="13"/>
        <v>Rye</v>
      </c>
      <c r="AE138" s="31" t="s">
        <v>1632</v>
      </c>
      <c r="AJ138" s="31" t="s">
        <v>289</v>
      </c>
      <c r="AK138" s="31" t="s">
        <v>327</v>
      </c>
      <c r="AL138" s="31" t="s">
        <v>618</v>
      </c>
      <c r="AM138" s="31" t="s">
        <v>299</v>
      </c>
      <c r="AN138" s="31" t="s">
        <v>299</v>
      </c>
      <c r="AO138" s="31" t="s">
        <v>230</v>
      </c>
      <c r="AQ138" s="31">
        <v>3</v>
      </c>
      <c r="AR138" s="31">
        <v>3</v>
      </c>
      <c r="AS138" s="31" t="s">
        <v>227</v>
      </c>
      <c r="AW138" s="64"/>
      <c r="BB138" s="31">
        <f>1.06*1000</f>
        <v>1060</v>
      </c>
      <c r="BC138" s="31">
        <f>0.97*1000</f>
        <v>970</v>
      </c>
      <c r="BD138" s="31" t="s">
        <v>329</v>
      </c>
      <c r="BM138" s="31" t="s">
        <v>331</v>
      </c>
      <c r="DS138" s="12"/>
      <c r="DU138" s="15"/>
      <c r="FC138" s="31">
        <v>12</v>
      </c>
    </row>
    <row r="139" spans="1:159" s="31" customFormat="1" x14ac:dyDescent="0.25">
      <c r="A139" s="31">
        <v>12</v>
      </c>
      <c r="B139" s="31" t="s">
        <v>324</v>
      </c>
      <c r="C139" s="31" t="s">
        <v>325</v>
      </c>
      <c r="D139" s="31">
        <v>1984</v>
      </c>
      <c r="E139" s="31">
        <v>1980</v>
      </c>
      <c r="F139" s="31" t="s">
        <v>326</v>
      </c>
      <c r="G139" s="31" t="s">
        <v>332</v>
      </c>
      <c r="H139" s="31">
        <v>34.36</v>
      </c>
      <c r="I139" s="31">
        <v>-80.010000000000005</v>
      </c>
      <c r="J139" s="31">
        <v>61.3</v>
      </c>
      <c r="P139" s="56" t="s">
        <v>180</v>
      </c>
      <c r="Q139" s="56"/>
      <c r="R139" s="56"/>
      <c r="S139" s="56" t="s">
        <v>1647</v>
      </c>
      <c r="T139" s="56" t="s">
        <v>1647</v>
      </c>
      <c r="X139" s="31" t="s">
        <v>228</v>
      </c>
      <c r="AB139" s="31" t="s">
        <v>1553</v>
      </c>
      <c r="AC139" s="31" t="s">
        <v>166</v>
      </c>
      <c r="AD139" s="153" t="str">
        <f t="shared" si="13"/>
        <v>Rye</v>
      </c>
      <c r="AE139" s="31" t="s">
        <v>1633</v>
      </c>
      <c r="AJ139" s="31" t="s">
        <v>289</v>
      </c>
      <c r="AK139" s="31" t="s">
        <v>327</v>
      </c>
      <c r="AL139" s="31" t="s">
        <v>618</v>
      </c>
      <c r="AM139" s="31" t="s">
        <v>299</v>
      </c>
      <c r="AN139" s="31" t="s">
        <v>299</v>
      </c>
      <c r="AO139" s="31" t="s">
        <v>230</v>
      </c>
      <c r="AQ139" s="31">
        <v>3</v>
      </c>
      <c r="AR139" s="31">
        <v>3</v>
      </c>
      <c r="AS139" s="31" t="s">
        <v>227</v>
      </c>
      <c r="AW139" s="64"/>
      <c r="BB139" s="31">
        <f>1.14*1000</f>
        <v>1140</v>
      </c>
      <c r="BC139" s="31">
        <f>1.02*1000</f>
        <v>1020</v>
      </c>
      <c r="BD139" s="31" t="s">
        <v>329</v>
      </c>
      <c r="BM139" s="31" t="s">
        <v>331</v>
      </c>
      <c r="DS139" s="12"/>
      <c r="DU139" s="15"/>
      <c r="FC139" s="31">
        <v>12</v>
      </c>
    </row>
    <row r="140" spans="1:159" s="31" customFormat="1" x14ac:dyDescent="0.25">
      <c r="A140" s="31">
        <v>12</v>
      </c>
      <c r="B140" s="31" t="s">
        <v>324</v>
      </c>
      <c r="C140" s="31" t="s">
        <v>325</v>
      </c>
      <c r="D140" s="31">
        <v>1984</v>
      </c>
      <c r="E140" s="31">
        <v>1980</v>
      </c>
      <c r="F140" s="31" t="s">
        <v>326</v>
      </c>
      <c r="G140" s="31" t="s">
        <v>333</v>
      </c>
      <c r="H140" s="31">
        <v>34.200000000000003</v>
      </c>
      <c r="I140" s="31">
        <v>-79.760000000000005</v>
      </c>
      <c r="J140" s="31">
        <v>44.3</v>
      </c>
      <c r="P140" s="56" t="s">
        <v>181</v>
      </c>
      <c r="Q140" s="56"/>
      <c r="R140" s="56"/>
      <c r="S140" s="56" t="s">
        <v>1647</v>
      </c>
      <c r="T140" s="56" t="s">
        <v>1647</v>
      </c>
      <c r="X140" s="31" t="s">
        <v>228</v>
      </c>
      <c r="AB140" s="31" t="s">
        <v>1553</v>
      </c>
      <c r="AC140" s="31" t="s">
        <v>166</v>
      </c>
      <c r="AD140" s="153" t="str">
        <f t="shared" si="13"/>
        <v>Rye</v>
      </c>
      <c r="AE140" s="31" t="s">
        <v>1631</v>
      </c>
      <c r="AJ140" s="31" t="s">
        <v>289</v>
      </c>
      <c r="AK140" s="31" t="s">
        <v>327</v>
      </c>
      <c r="AL140" s="31" t="s">
        <v>618</v>
      </c>
      <c r="AM140" s="31" t="s">
        <v>299</v>
      </c>
      <c r="AN140" s="31" t="s">
        <v>299</v>
      </c>
      <c r="AO140" s="31" t="s">
        <v>230</v>
      </c>
      <c r="AQ140" s="31">
        <v>3</v>
      </c>
      <c r="AR140" s="31">
        <v>3</v>
      </c>
      <c r="AS140" s="31" t="s">
        <v>227</v>
      </c>
      <c r="AW140" s="64"/>
      <c r="BB140" s="31">
        <f>2.06*1000</f>
        <v>2060</v>
      </c>
      <c r="BC140" s="31">
        <f>1.6*1000</f>
        <v>1600</v>
      </c>
      <c r="BD140" s="31" t="s">
        <v>328</v>
      </c>
      <c r="BM140" s="31" t="s">
        <v>330</v>
      </c>
      <c r="DS140" s="12"/>
      <c r="DU140" s="15"/>
      <c r="FC140" s="31">
        <v>12</v>
      </c>
    </row>
    <row r="141" spans="1:159" s="31" customFormat="1" x14ac:dyDescent="0.25">
      <c r="A141" s="31">
        <v>12</v>
      </c>
      <c r="B141" s="31" t="s">
        <v>324</v>
      </c>
      <c r="C141" s="31" t="s">
        <v>325</v>
      </c>
      <c r="D141" s="31">
        <v>1984</v>
      </c>
      <c r="E141" s="31">
        <v>1980</v>
      </c>
      <c r="F141" s="31" t="s">
        <v>326</v>
      </c>
      <c r="G141" s="31" t="s">
        <v>333</v>
      </c>
      <c r="H141" s="31">
        <v>34.200000000000003</v>
      </c>
      <c r="I141" s="31">
        <v>-79.760000000000005</v>
      </c>
      <c r="J141" s="31">
        <v>44.3</v>
      </c>
      <c r="P141" s="56" t="s">
        <v>181</v>
      </c>
      <c r="Q141" s="56"/>
      <c r="R141" s="56"/>
      <c r="S141" s="56" t="s">
        <v>1647</v>
      </c>
      <c r="T141" s="56" t="s">
        <v>1647</v>
      </c>
      <c r="X141" s="31" t="s">
        <v>228</v>
      </c>
      <c r="AB141" s="31" t="s">
        <v>1553</v>
      </c>
      <c r="AC141" s="31" t="s">
        <v>166</v>
      </c>
      <c r="AD141" s="153" t="str">
        <f t="shared" si="13"/>
        <v>Rye</v>
      </c>
      <c r="AE141" s="31" t="s">
        <v>1632</v>
      </c>
      <c r="AJ141" s="31" t="s">
        <v>289</v>
      </c>
      <c r="AK141" s="31" t="s">
        <v>327</v>
      </c>
      <c r="AL141" s="31" t="s">
        <v>618</v>
      </c>
      <c r="AM141" s="31" t="s">
        <v>299</v>
      </c>
      <c r="AN141" s="31" t="s">
        <v>299</v>
      </c>
      <c r="AO141" s="31" t="s">
        <v>230</v>
      </c>
      <c r="AQ141" s="31">
        <v>3</v>
      </c>
      <c r="AR141" s="31">
        <v>3</v>
      </c>
      <c r="AS141" s="31" t="s">
        <v>227</v>
      </c>
      <c r="AW141" s="64"/>
      <c r="BM141" s="31" t="s">
        <v>330</v>
      </c>
      <c r="DS141" s="12"/>
      <c r="DU141" s="15"/>
      <c r="FC141" s="31">
        <v>12</v>
      </c>
    </row>
    <row r="142" spans="1:159" s="31" customFormat="1" x14ac:dyDescent="0.25">
      <c r="A142" s="31">
        <v>12</v>
      </c>
      <c r="B142" s="31" t="s">
        <v>324</v>
      </c>
      <c r="C142" s="31" t="s">
        <v>325</v>
      </c>
      <c r="D142" s="31">
        <v>1984</v>
      </c>
      <c r="E142" s="31">
        <v>1980</v>
      </c>
      <c r="F142" s="31" t="s">
        <v>326</v>
      </c>
      <c r="G142" s="31" t="s">
        <v>333</v>
      </c>
      <c r="H142" s="31">
        <v>34.200000000000003</v>
      </c>
      <c r="I142" s="31">
        <v>-79.760000000000005</v>
      </c>
      <c r="J142" s="31">
        <v>44.3</v>
      </c>
      <c r="P142" s="56" t="s">
        <v>181</v>
      </c>
      <c r="Q142" s="56"/>
      <c r="R142" s="56"/>
      <c r="S142" s="56" t="s">
        <v>1647</v>
      </c>
      <c r="T142" s="56" t="s">
        <v>1647</v>
      </c>
      <c r="X142" s="31" t="s">
        <v>228</v>
      </c>
      <c r="AB142" s="31" t="s">
        <v>1553</v>
      </c>
      <c r="AC142" s="31" t="s">
        <v>166</v>
      </c>
      <c r="AD142" s="153" t="str">
        <f t="shared" si="13"/>
        <v>Rye</v>
      </c>
      <c r="AE142" s="31" t="s">
        <v>1633</v>
      </c>
      <c r="AJ142" s="31" t="s">
        <v>289</v>
      </c>
      <c r="AK142" s="31" t="s">
        <v>327</v>
      </c>
      <c r="AL142" s="31" t="s">
        <v>618</v>
      </c>
      <c r="AM142" s="31" t="s">
        <v>299</v>
      </c>
      <c r="AN142" s="31" t="s">
        <v>299</v>
      </c>
      <c r="AO142" s="31" t="s">
        <v>230</v>
      </c>
      <c r="AQ142" s="31">
        <v>3</v>
      </c>
      <c r="AR142" s="31">
        <v>3</v>
      </c>
      <c r="AS142" s="31" t="s">
        <v>227</v>
      </c>
      <c r="AW142" s="64"/>
      <c r="BB142" s="31">
        <f>2*1000</f>
        <v>2000</v>
      </c>
      <c r="BC142" s="31">
        <f>1.68*1000</f>
        <v>1680</v>
      </c>
      <c r="BD142" s="31" t="s">
        <v>328</v>
      </c>
      <c r="BM142" s="31" t="s">
        <v>330</v>
      </c>
      <c r="DS142" s="12"/>
      <c r="DU142" s="15"/>
      <c r="FC142" s="31">
        <v>12</v>
      </c>
    </row>
    <row r="143" spans="1:159" s="31" customFormat="1" x14ac:dyDescent="0.25">
      <c r="A143" s="31">
        <v>12</v>
      </c>
      <c r="B143" s="31" t="s">
        <v>324</v>
      </c>
      <c r="C143" s="31" t="s">
        <v>325</v>
      </c>
      <c r="D143" s="31">
        <v>1984</v>
      </c>
      <c r="E143" s="31">
        <v>1980</v>
      </c>
      <c r="F143" s="31" t="s">
        <v>326</v>
      </c>
      <c r="G143" s="31" t="s">
        <v>333</v>
      </c>
      <c r="H143" s="31">
        <v>34.200000000000003</v>
      </c>
      <c r="I143" s="31">
        <v>-79.760000000000005</v>
      </c>
      <c r="J143" s="31">
        <v>44.3</v>
      </c>
      <c r="P143" s="56" t="s">
        <v>181</v>
      </c>
      <c r="Q143" s="56"/>
      <c r="R143" s="56"/>
      <c r="S143" s="56" t="s">
        <v>1647</v>
      </c>
      <c r="T143" s="56" t="s">
        <v>1647</v>
      </c>
      <c r="X143" s="31" t="s">
        <v>228</v>
      </c>
      <c r="AB143" s="31" t="s">
        <v>1553</v>
      </c>
      <c r="AC143" s="31" t="s">
        <v>166</v>
      </c>
      <c r="AD143" s="153" t="str">
        <f t="shared" si="13"/>
        <v>Rye</v>
      </c>
      <c r="AE143" s="31" t="s">
        <v>1631</v>
      </c>
      <c r="AJ143" s="31" t="s">
        <v>289</v>
      </c>
      <c r="AK143" s="31" t="s">
        <v>327</v>
      </c>
      <c r="AL143" s="31" t="s">
        <v>618</v>
      </c>
      <c r="AM143" s="31" t="s">
        <v>299</v>
      </c>
      <c r="AN143" s="31" t="s">
        <v>299</v>
      </c>
      <c r="AO143" s="31" t="s">
        <v>230</v>
      </c>
      <c r="AQ143" s="31">
        <v>3</v>
      </c>
      <c r="AR143" s="31">
        <v>3</v>
      </c>
      <c r="AS143" s="31" t="s">
        <v>227</v>
      </c>
      <c r="AW143" s="64"/>
      <c r="BB143" s="31">
        <f>1.86*1000</f>
        <v>1860</v>
      </c>
      <c r="BC143" s="31">
        <f>1.89*1000</f>
        <v>1890</v>
      </c>
      <c r="BD143" s="31" t="s">
        <v>329</v>
      </c>
      <c r="BM143" s="31" t="s">
        <v>330</v>
      </c>
      <c r="DS143" s="12"/>
      <c r="DU143" s="15"/>
      <c r="FC143" s="31">
        <v>12</v>
      </c>
    </row>
    <row r="144" spans="1:159" s="31" customFormat="1" x14ac:dyDescent="0.25">
      <c r="A144" s="31">
        <v>12</v>
      </c>
      <c r="B144" s="31" t="s">
        <v>324</v>
      </c>
      <c r="C144" s="31" t="s">
        <v>325</v>
      </c>
      <c r="D144" s="31">
        <v>1984</v>
      </c>
      <c r="E144" s="31">
        <v>1980</v>
      </c>
      <c r="F144" s="31" t="s">
        <v>326</v>
      </c>
      <c r="G144" s="31" t="s">
        <v>333</v>
      </c>
      <c r="H144" s="31">
        <v>34.200000000000003</v>
      </c>
      <c r="I144" s="31">
        <v>-79.760000000000005</v>
      </c>
      <c r="J144" s="31">
        <v>44.3</v>
      </c>
      <c r="P144" s="56" t="s">
        <v>181</v>
      </c>
      <c r="Q144" s="56"/>
      <c r="R144" s="56"/>
      <c r="S144" s="56" t="s">
        <v>1647</v>
      </c>
      <c r="T144" s="56" t="s">
        <v>1647</v>
      </c>
      <c r="X144" s="31" t="s">
        <v>228</v>
      </c>
      <c r="AB144" s="31" t="s">
        <v>1553</v>
      </c>
      <c r="AC144" s="31" t="s">
        <v>166</v>
      </c>
      <c r="AD144" s="153" t="str">
        <f t="shared" si="13"/>
        <v>Rye</v>
      </c>
      <c r="AE144" s="31" t="s">
        <v>1632</v>
      </c>
      <c r="AJ144" s="31" t="s">
        <v>289</v>
      </c>
      <c r="AK144" s="31" t="s">
        <v>327</v>
      </c>
      <c r="AL144" s="31" t="s">
        <v>618</v>
      </c>
      <c r="AM144" s="31" t="s">
        <v>299</v>
      </c>
      <c r="AN144" s="31" t="s">
        <v>299</v>
      </c>
      <c r="AO144" s="31" t="s">
        <v>230</v>
      </c>
      <c r="AQ144" s="31">
        <v>3</v>
      </c>
      <c r="AR144" s="31">
        <v>3</v>
      </c>
      <c r="AS144" s="31" t="s">
        <v>227</v>
      </c>
      <c r="AW144" s="64"/>
      <c r="BB144" s="31">
        <f>1.9*1000</f>
        <v>1900</v>
      </c>
      <c r="BC144" s="31">
        <f>1.93*1000</f>
        <v>1930</v>
      </c>
      <c r="BD144" s="31" t="s">
        <v>329</v>
      </c>
      <c r="BM144" s="31" t="s">
        <v>330</v>
      </c>
      <c r="DS144" s="12"/>
      <c r="DU144" s="15"/>
      <c r="FC144" s="31">
        <v>12</v>
      </c>
    </row>
    <row r="145" spans="1:159" s="31" customFormat="1" x14ac:dyDescent="0.25">
      <c r="A145" s="31">
        <v>12</v>
      </c>
      <c r="B145" s="31" t="s">
        <v>324</v>
      </c>
      <c r="C145" s="31" t="s">
        <v>325</v>
      </c>
      <c r="D145" s="31">
        <v>1984</v>
      </c>
      <c r="E145" s="31">
        <v>1980</v>
      </c>
      <c r="F145" s="31" t="s">
        <v>326</v>
      </c>
      <c r="G145" s="31" t="s">
        <v>333</v>
      </c>
      <c r="H145" s="31">
        <v>34.200000000000003</v>
      </c>
      <c r="I145" s="31">
        <v>-79.760000000000005</v>
      </c>
      <c r="J145" s="31">
        <v>44.3</v>
      </c>
      <c r="P145" s="56" t="s">
        <v>181</v>
      </c>
      <c r="Q145" s="56"/>
      <c r="R145" s="56"/>
      <c r="S145" s="56" t="s">
        <v>1647</v>
      </c>
      <c r="T145" s="56" t="s">
        <v>1647</v>
      </c>
      <c r="X145" s="31" t="s">
        <v>228</v>
      </c>
      <c r="AB145" s="31" t="s">
        <v>1553</v>
      </c>
      <c r="AC145" s="31" t="s">
        <v>166</v>
      </c>
      <c r="AD145" s="153" t="str">
        <f t="shared" si="13"/>
        <v>Rye</v>
      </c>
      <c r="AE145" s="31" t="s">
        <v>1633</v>
      </c>
      <c r="AJ145" s="31" t="s">
        <v>289</v>
      </c>
      <c r="AK145" s="31" t="s">
        <v>327</v>
      </c>
      <c r="AL145" s="31" t="s">
        <v>618</v>
      </c>
      <c r="AM145" s="31" t="s">
        <v>299</v>
      </c>
      <c r="AN145" s="31" t="s">
        <v>299</v>
      </c>
      <c r="AO145" s="31" t="s">
        <v>230</v>
      </c>
      <c r="AQ145" s="31">
        <v>3</v>
      </c>
      <c r="AR145" s="31">
        <v>3</v>
      </c>
      <c r="AS145" s="31" t="s">
        <v>227</v>
      </c>
      <c r="AW145" s="64"/>
      <c r="BB145" s="31">
        <f>2.05*1000</f>
        <v>2050</v>
      </c>
      <c r="BC145" s="31">
        <f>2.09*1000</f>
        <v>2090</v>
      </c>
      <c r="BD145" s="31" t="s">
        <v>329</v>
      </c>
      <c r="BM145" s="31" t="s">
        <v>330</v>
      </c>
      <c r="DS145" s="12"/>
      <c r="DU145" s="15"/>
      <c r="FC145" s="31">
        <v>12</v>
      </c>
    </row>
    <row r="146" spans="1:159" s="31" customFormat="1" x14ac:dyDescent="0.25">
      <c r="A146" s="31">
        <v>12</v>
      </c>
      <c r="B146" s="31" t="s">
        <v>324</v>
      </c>
      <c r="C146" s="31" t="s">
        <v>325</v>
      </c>
      <c r="D146" s="31">
        <v>1984</v>
      </c>
      <c r="E146" s="31">
        <v>1980</v>
      </c>
      <c r="F146" s="31" t="s">
        <v>326</v>
      </c>
      <c r="G146" s="31" t="s">
        <v>333</v>
      </c>
      <c r="H146" s="31">
        <v>34.200000000000003</v>
      </c>
      <c r="I146" s="31">
        <v>-79.760000000000005</v>
      </c>
      <c r="J146" s="31">
        <v>44.3</v>
      </c>
      <c r="P146" s="56" t="s">
        <v>181</v>
      </c>
      <c r="Q146" s="56"/>
      <c r="R146" s="56"/>
      <c r="S146" s="56" t="s">
        <v>1647</v>
      </c>
      <c r="T146" s="56" t="s">
        <v>1647</v>
      </c>
      <c r="X146" s="31" t="s">
        <v>228</v>
      </c>
      <c r="AB146" s="31" t="s">
        <v>1553</v>
      </c>
      <c r="AC146" s="31" t="s">
        <v>166</v>
      </c>
      <c r="AD146" s="153" t="str">
        <f t="shared" si="13"/>
        <v>Rye</v>
      </c>
      <c r="AE146" s="31" t="s">
        <v>1631</v>
      </c>
      <c r="AJ146" s="31" t="s">
        <v>289</v>
      </c>
      <c r="AK146" s="31" t="s">
        <v>327</v>
      </c>
      <c r="AL146" s="31" t="s">
        <v>618</v>
      </c>
      <c r="AM146" s="31" t="s">
        <v>299</v>
      </c>
      <c r="AN146" s="31" t="s">
        <v>299</v>
      </c>
      <c r="AO146" s="31" t="s">
        <v>230</v>
      </c>
      <c r="AQ146" s="31">
        <v>3</v>
      </c>
      <c r="AR146" s="31">
        <v>3</v>
      </c>
      <c r="AS146" s="31" t="s">
        <v>227</v>
      </c>
      <c r="AW146" s="64"/>
      <c r="BB146" s="31">
        <f>2*1000</f>
        <v>2000</v>
      </c>
      <c r="BC146" s="31">
        <f>1.9*1000</f>
        <v>1900</v>
      </c>
      <c r="BD146" s="31" t="s">
        <v>328</v>
      </c>
      <c r="BM146" s="31" t="s">
        <v>331</v>
      </c>
      <c r="DS146" s="12"/>
      <c r="DU146" s="15"/>
      <c r="FC146" s="31">
        <v>12</v>
      </c>
    </row>
    <row r="147" spans="1:159" s="31" customFormat="1" x14ac:dyDescent="0.25">
      <c r="A147" s="31">
        <v>12</v>
      </c>
      <c r="B147" s="31" t="s">
        <v>324</v>
      </c>
      <c r="C147" s="31" t="s">
        <v>325</v>
      </c>
      <c r="D147" s="31">
        <v>1984</v>
      </c>
      <c r="E147" s="31">
        <v>1980</v>
      </c>
      <c r="F147" s="31" t="s">
        <v>326</v>
      </c>
      <c r="G147" s="31" t="s">
        <v>333</v>
      </c>
      <c r="H147" s="31">
        <v>34.200000000000003</v>
      </c>
      <c r="I147" s="31">
        <v>-79.760000000000005</v>
      </c>
      <c r="J147" s="31">
        <v>44.3</v>
      </c>
      <c r="P147" s="56" t="s">
        <v>181</v>
      </c>
      <c r="Q147" s="56"/>
      <c r="R147" s="56"/>
      <c r="S147" s="56" t="s">
        <v>1647</v>
      </c>
      <c r="T147" s="56" t="s">
        <v>1647</v>
      </c>
      <c r="X147" s="31" t="s">
        <v>228</v>
      </c>
      <c r="AB147" s="31" t="s">
        <v>1553</v>
      </c>
      <c r="AC147" s="31" t="s">
        <v>166</v>
      </c>
      <c r="AD147" s="153" t="str">
        <f t="shared" si="13"/>
        <v>Rye</v>
      </c>
      <c r="AE147" s="31" t="s">
        <v>1632</v>
      </c>
      <c r="AJ147" s="31" t="s">
        <v>289</v>
      </c>
      <c r="AK147" s="31" t="s">
        <v>327</v>
      </c>
      <c r="AL147" s="31" t="s">
        <v>618</v>
      </c>
      <c r="AM147" s="31" t="s">
        <v>299</v>
      </c>
      <c r="AN147" s="31" t="s">
        <v>299</v>
      </c>
      <c r="AO147" s="31" t="s">
        <v>230</v>
      </c>
      <c r="AQ147" s="31">
        <v>3</v>
      </c>
      <c r="AR147" s="31">
        <v>3</v>
      </c>
      <c r="AS147" s="31" t="s">
        <v>227</v>
      </c>
      <c r="AW147" s="64"/>
      <c r="BB147" s="31">
        <f>1.98*1000</f>
        <v>1980</v>
      </c>
      <c r="BC147" s="31">
        <f>1.91*1000</f>
        <v>1910</v>
      </c>
      <c r="BD147" s="31" t="s">
        <v>328</v>
      </c>
      <c r="BM147" s="31" t="s">
        <v>331</v>
      </c>
      <c r="DS147" s="12"/>
      <c r="DU147" s="15"/>
      <c r="FC147" s="31">
        <v>12</v>
      </c>
    </row>
    <row r="148" spans="1:159" s="31" customFormat="1" x14ac:dyDescent="0.25">
      <c r="A148" s="31">
        <v>12</v>
      </c>
      <c r="B148" s="31" t="s">
        <v>324</v>
      </c>
      <c r="C148" s="31" t="s">
        <v>325</v>
      </c>
      <c r="D148" s="31">
        <v>1984</v>
      </c>
      <c r="E148" s="31">
        <v>1980</v>
      </c>
      <c r="F148" s="31" t="s">
        <v>326</v>
      </c>
      <c r="G148" s="31" t="s">
        <v>333</v>
      </c>
      <c r="H148" s="31">
        <v>34.200000000000003</v>
      </c>
      <c r="I148" s="31">
        <v>-79.760000000000005</v>
      </c>
      <c r="J148" s="31">
        <v>44.3</v>
      </c>
      <c r="P148" s="56" t="s">
        <v>181</v>
      </c>
      <c r="Q148" s="56"/>
      <c r="R148" s="56"/>
      <c r="S148" s="56" t="s">
        <v>1647</v>
      </c>
      <c r="T148" s="56" t="s">
        <v>1647</v>
      </c>
      <c r="X148" s="31" t="s">
        <v>228</v>
      </c>
      <c r="AB148" s="31" t="s">
        <v>1553</v>
      </c>
      <c r="AC148" s="31" t="s">
        <v>166</v>
      </c>
      <c r="AD148" s="153" t="str">
        <f t="shared" si="13"/>
        <v>Rye</v>
      </c>
      <c r="AE148" s="31" t="s">
        <v>1633</v>
      </c>
      <c r="AJ148" s="31" t="s">
        <v>289</v>
      </c>
      <c r="AK148" s="31" t="s">
        <v>327</v>
      </c>
      <c r="AL148" s="31" t="s">
        <v>618</v>
      </c>
      <c r="AM148" s="31" t="s">
        <v>299</v>
      </c>
      <c r="AN148" s="31" t="s">
        <v>299</v>
      </c>
      <c r="AO148" s="31" t="s">
        <v>230</v>
      </c>
      <c r="AQ148" s="31">
        <v>3</v>
      </c>
      <c r="AR148" s="31">
        <v>3</v>
      </c>
      <c r="AS148" s="31" t="s">
        <v>227</v>
      </c>
      <c r="AW148" s="64"/>
      <c r="BB148" s="31">
        <f>2.27*1000</f>
        <v>2270</v>
      </c>
      <c r="BC148" s="31">
        <f>2.12*1000</f>
        <v>2120</v>
      </c>
      <c r="BD148" s="31" t="s">
        <v>328</v>
      </c>
      <c r="BM148" s="31" t="s">
        <v>331</v>
      </c>
      <c r="DS148" s="12"/>
      <c r="DU148" s="15"/>
      <c r="FC148" s="31">
        <v>12</v>
      </c>
    </row>
    <row r="149" spans="1:159" s="31" customFormat="1" x14ac:dyDescent="0.25">
      <c r="A149" s="31">
        <v>12</v>
      </c>
      <c r="B149" s="31" t="s">
        <v>324</v>
      </c>
      <c r="C149" s="31" t="s">
        <v>325</v>
      </c>
      <c r="D149" s="31">
        <v>1984</v>
      </c>
      <c r="E149" s="31">
        <v>1980</v>
      </c>
      <c r="F149" s="31" t="s">
        <v>326</v>
      </c>
      <c r="G149" s="31" t="s">
        <v>333</v>
      </c>
      <c r="H149" s="31">
        <v>34.200000000000003</v>
      </c>
      <c r="I149" s="31">
        <v>-79.760000000000005</v>
      </c>
      <c r="J149" s="31">
        <v>44.3</v>
      </c>
      <c r="P149" s="56" t="s">
        <v>181</v>
      </c>
      <c r="Q149" s="56"/>
      <c r="R149" s="56"/>
      <c r="S149" s="56" t="s">
        <v>1647</v>
      </c>
      <c r="T149" s="56" t="s">
        <v>1647</v>
      </c>
      <c r="X149" s="31" t="s">
        <v>228</v>
      </c>
      <c r="AB149" s="31" t="s">
        <v>1553</v>
      </c>
      <c r="AC149" s="31" t="s">
        <v>166</v>
      </c>
      <c r="AD149" s="153" t="str">
        <f t="shared" si="13"/>
        <v>Rye</v>
      </c>
      <c r="AE149" s="31" t="s">
        <v>1631</v>
      </c>
      <c r="AJ149" s="31" t="s">
        <v>289</v>
      </c>
      <c r="AK149" s="31" t="s">
        <v>327</v>
      </c>
      <c r="AL149" s="31" t="s">
        <v>618</v>
      </c>
      <c r="AM149" s="31" t="s">
        <v>299</v>
      </c>
      <c r="AN149" s="31" t="s">
        <v>299</v>
      </c>
      <c r="AO149" s="31" t="s">
        <v>230</v>
      </c>
      <c r="AQ149" s="31">
        <v>3</v>
      </c>
      <c r="AR149" s="31">
        <v>3</v>
      </c>
      <c r="AS149" s="31" t="s">
        <v>227</v>
      </c>
      <c r="AW149" s="64"/>
      <c r="BB149" s="31">
        <f>1.95*1000</f>
        <v>1950</v>
      </c>
      <c r="BC149" s="31">
        <f>1.92*1000</f>
        <v>1920</v>
      </c>
      <c r="BD149" s="31" t="s">
        <v>329</v>
      </c>
      <c r="BM149" s="31" t="s">
        <v>331</v>
      </c>
      <c r="DS149" s="12"/>
      <c r="DU149" s="15"/>
      <c r="FC149" s="31">
        <v>12</v>
      </c>
    </row>
    <row r="150" spans="1:159" s="31" customFormat="1" x14ac:dyDescent="0.25">
      <c r="A150" s="31">
        <v>12</v>
      </c>
      <c r="B150" s="31" t="s">
        <v>324</v>
      </c>
      <c r="C150" s="31" t="s">
        <v>325</v>
      </c>
      <c r="D150" s="31">
        <v>1984</v>
      </c>
      <c r="E150" s="31">
        <v>1980</v>
      </c>
      <c r="F150" s="31" t="s">
        <v>326</v>
      </c>
      <c r="G150" s="31" t="s">
        <v>333</v>
      </c>
      <c r="H150" s="31">
        <v>34.200000000000003</v>
      </c>
      <c r="I150" s="31">
        <v>-79.760000000000005</v>
      </c>
      <c r="J150" s="31">
        <v>44.3</v>
      </c>
      <c r="P150" s="56" t="s">
        <v>181</v>
      </c>
      <c r="Q150" s="56"/>
      <c r="R150" s="56"/>
      <c r="S150" s="56" t="s">
        <v>1647</v>
      </c>
      <c r="T150" s="56" t="s">
        <v>1647</v>
      </c>
      <c r="X150" s="31" t="s">
        <v>228</v>
      </c>
      <c r="AB150" s="31" t="s">
        <v>1553</v>
      </c>
      <c r="AC150" s="31" t="s">
        <v>166</v>
      </c>
      <c r="AD150" s="153" t="str">
        <f t="shared" si="13"/>
        <v>Rye</v>
      </c>
      <c r="AE150" s="31" t="s">
        <v>1632</v>
      </c>
      <c r="AJ150" s="31" t="s">
        <v>289</v>
      </c>
      <c r="AK150" s="31" t="s">
        <v>327</v>
      </c>
      <c r="AL150" s="31" t="s">
        <v>618</v>
      </c>
      <c r="AM150" s="31" t="s">
        <v>299</v>
      </c>
      <c r="AN150" s="31" t="s">
        <v>299</v>
      </c>
      <c r="AO150" s="31" t="s">
        <v>230</v>
      </c>
      <c r="AQ150" s="31">
        <v>3</v>
      </c>
      <c r="AR150" s="31">
        <v>3</v>
      </c>
      <c r="AS150" s="31" t="s">
        <v>227</v>
      </c>
      <c r="AW150" s="64"/>
      <c r="BB150" s="31">
        <f>2.14*1000</f>
        <v>2140</v>
      </c>
      <c r="BC150" s="31">
        <f>2.02*1000</f>
        <v>2020</v>
      </c>
      <c r="BD150" s="31" t="s">
        <v>329</v>
      </c>
      <c r="BM150" s="31" t="s">
        <v>331</v>
      </c>
      <c r="DS150" s="12"/>
      <c r="DU150" s="15"/>
      <c r="FC150" s="31">
        <v>12</v>
      </c>
    </row>
    <row r="151" spans="1:159" s="31" customFormat="1" x14ac:dyDescent="0.25">
      <c r="A151" s="31">
        <v>12</v>
      </c>
      <c r="B151" s="31" t="s">
        <v>324</v>
      </c>
      <c r="C151" s="31" t="s">
        <v>325</v>
      </c>
      <c r="D151" s="31">
        <v>1984</v>
      </c>
      <c r="E151" s="31">
        <v>1980</v>
      </c>
      <c r="F151" s="31" t="s">
        <v>326</v>
      </c>
      <c r="G151" s="31" t="s">
        <v>333</v>
      </c>
      <c r="H151" s="31">
        <v>34.200000000000003</v>
      </c>
      <c r="I151" s="31">
        <v>-79.760000000000005</v>
      </c>
      <c r="J151" s="31">
        <v>44.3</v>
      </c>
      <c r="P151" s="56" t="s">
        <v>181</v>
      </c>
      <c r="Q151" s="56"/>
      <c r="R151" s="56"/>
      <c r="S151" s="56" t="s">
        <v>1647</v>
      </c>
      <c r="T151" s="56" t="s">
        <v>1647</v>
      </c>
      <c r="X151" s="31" t="s">
        <v>228</v>
      </c>
      <c r="AB151" s="31" t="s">
        <v>1553</v>
      </c>
      <c r="AC151" s="31" t="s">
        <v>166</v>
      </c>
      <c r="AD151" s="153" t="str">
        <f t="shared" si="13"/>
        <v>Rye</v>
      </c>
      <c r="AE151" s="31" t="s">
        <v>1633</v>
      </c>
      <c r="AJ151" s="31" t="s">
        <v>289</v>
      </c>
      <c r="AK151" s="31" t="s">
        <v>327</v>
      </c>
      <c r="AL151" s="31" t="s">
        <v>618</v>
      </c>
      <c r="AM151" s="31" t="s">
        <v>299</v>
      </c>
      <c r="AN151" s="31" t="s">
        <v>299</v>
      </c>
      <c r="AO151" s="31" t="s">
        <v>230</v>
      </c>
      <c r="AQ151" s="31">
        <v>3</v>
      </c>
      <c r="AR151" s="31">
        <v>3</v>
      </c>
      <c r="AS151" s="31" t="s">
        <v>227</v>
      </c>
      <c r="AW151" s="64"/>
      <c r="BB151" s="31">
        <f>2.17*1000</f>
        <v>2170</v>
      </c>
      <c r="BC151" s="31">
        <f>2*1000</f>
        <v>2000</v>
      </c>
      <c r="BD151" s="31" t="s">
        <v>329</v>
      </c>
      <c r="BM151" s="31" t="s">
        <v>331</v>
      </c>
      <c r="DS151" s="12"/>
      <c r="DU151" s="15"/>
      <c r="FC151" s="31">
        <v>12</v>
      </c>
    </row>
    <row r="152" spans="1:159" s="26" customFormat="1" x14ac:dyDescent="0.25">
      <c r="A152" s="26">
        <v>13</v>
      </c>
      <c r="B152" s="26" t="s">
        <v>324</v>
      </c>
      <c r="C152" s="26" t="s">
        <v>334</v>
      </c>
      <c r="D152" s="26">
        <v>1991</v>
      </c>
      <c r="E152" s="26">
        <v>1987</v>
      </c>
      <c r="F152" s="37" t="s">
        <v>335</v>
      </c>
      <c r="G152" s="26" t="s">
        <v>336</v>
      </c>
      <c r="H152" s="26">
        <v>50.53</v>
      </c>
      <c r="I152" s="26">
        <f t="shared" ref="I152:I171" si="14">-103.67</f>
        <v>-103.67</v>
      </c>
      <c r="J152" s="26">
        <v>579.1</v>
      </c>
      <c r="P152" s="52" t="s">
        <v>179</v>
      </c>
      <c r="Q152" s="52"/>
      <c r="R152" s="52"/>
      <c r="S152" s="52" t="s">
        <v>1647</v>
      </c>
      <c r="T152" s="52" t="s">
        <v>1647</v>
      </c>
      <c r="U152" s="26">
        <f>(0.95+1.22)/2</f>
        <v>1.085</v>
      </c>
      <c r="V152" s="26">
        <v>16.3</v>
      </c>
      <c r="W152" s="26">
        <v>20.6</v>
      </c>
      <c r="X152" s="26" t="s">
        <v>268</v>
      </c>
      <c r="AB152" s="26" t="s">
        <v>1554</v>
      </c>
      <c r="AC152" s="26" t="s">
        <v>337</v>
      </c>
      <c r="AD152" s="153" t="str">
        <f t="shared" si="13"/>
        <v>Sweetclover</v>
      </c>
      <c r="AE152" s="26" t="s">
        <v>1637</v>
      </c>
      <c r="AG152" s="26" t="s">
        <v>339</v>
      </c>
      <c r="AH152" s="26" t="s">
        <v>347</v>
      </c>
      <c r="AI152" s="26" t="s">
        <v>618</v>
      </c>
      <c r="AM152" s="26" t="s">
        <v>209</v>
      </c>
      <c r="AN152" s="26" t="s">
        <v>209</v>
      </c>
      <c r="AO152" s="26" t="s">
        <v>230</v>
      </c>
      <c r="AP152" s="26" t="s">
        <v>154</v>
      </c>
      <c r="AQ152" s="26">
        <v>6</v>
      </c>
      <c r="AR152" s="26">
        <v>6</v>
      </c>
      <c r="AS152" s="26" t="s">
        <v>177</v>
      </c>
      <c r="AT152" s="26">
        <f>112*1000</f>
        <v>112000</v>
      </c>
      <c r="AV152" s="26">
        <f>50/0.96</f>
        <v>52.083333333333336</v>
      </c>
      <c r="AW152" s="63"/>
      <c r="BH152" s="26">
        <f>36.3*0.00061*100</f>
        <v>2.2142999999999997</v>
      </c>
      <c r="BI152" s="26">
        <f>39.5*0.00061*100</f>
        <v>2.4095</v>
      </c>
      <c r="BK152" s="26">
        <f>BH152/12.5*10000</f>
        <v>1771.4399999999996</v>
      </c>
      <c r="BL152" s="26">
        <f>BI152/11.8*10000</f>
        <v>2041.9491525423728</v>
      </c>
      <c r="BM152" s="26" t="s">
        <v>969</v>
      </c>
      <c r="DS152" s="12"/>
      <c r="DU152" s="15"/>
      <c r="EH152" s="26">
        <f>184*0.61/24</f>
        <v>4.6766666666666667</v>
      </c>
      <c r="EI152" s="26">
        <f>214*0.61/24</f>
        <v>5.439166666666666</v>
      </c>
      <c r="EQ152" s="26">
        <f>905*1000000/1627500</f>
        <v>556.06758832565288</v>
      </c>
      <c r="ER152" s="26">
        <f>987*1000000/1627500</f>
        <v>606.45161290322585</v>
      </c>
      <c r="ET152" s="26">
        <f>79*1000000/1627500</f>
        <v>48.540706605222731</v>
      </c>
      <c r="EU152" s="26">
        <f>125*1000000/1627500</f>
        <v>76.804915514592935</v>
      </c>
      <c r="FA152" s="26" t="s">
        <v>351</v>
      </c>
      <c r="FC152" s="26">
        <v>13</v>
      </c>
    </row>
    <row r="153" spans="1:159" s="26" customFormat="1" x14ac:dyDescent="0.25">
      <c r="A153" s="26">
        <v>13</v>
      </c>
      <c r="B153" s="26" t="s">
        <v>324</v>
      </c>
      <c r="C153" s="26" t="s">
        <v>334</v>
      </c>
      <c r="D153" s="26">
        <v>1991</v>
      </c>
      <c r="E153" s="26">
        <v>1987</v>
      </c>
      <c r="F153" s="37" t="s">
        <v>335</v>
      </c>
      <c r="G153" s="26" t="s">
        <v>336</v>
      </c>
      <c r="H153" s="26">
        <v>50.53</v>
      </c>
      <c r="I153" s="26">
        <f t="shared" si="14"/>
        <v>-103.67</v>
      </c>
      <c r="J153" s="26">
        <v>579.1</v>
      </c>
      <c r="P153" s="52" t="s">
        <v>179</v>
      </c>
      <c r="Q153" s="52"/>
      <c r="R153" s="52"/>
      <c r="S153" s="52" t="s">
        <v>1647</v>
      </c>
      <c r="T153" s="52" t="s">
        <v>1647</v>
      </c>
      <c r="U153" s="26">
        <f t="shared" ref="U153:U171" si="15">(0.95+1.22)/2</f>
        <v>1.085</v>
      </c>
      <c r="V153" s="26">
        <v>16.3</v>
      </c>
      <c r="W153" s="26">
        <v>20.6</v>
      </c>
      <c r="X153" s="26" t="s">
        <v>268</v>
      </c>
      <c r="AB153" s="26" t="s">
        <v>1554</v>
      </c>
      <c r="AC153" s="26" t="s">
        <v>337</v>
      </c>
      <c r="AD153" s="153" t="str">
        <f t="shared" si="13"/>
        <v>Sweetclover</v>
      </c>
      <c r="AE153" s="26" t="s">
        <v>1637</v>
      </c>
      <c r="AG153" s="26" t="s">
        <v>339</v>
      </c>
      <c r="AH153" s="26" t="s">
        <v>347</v>
      </c>
      <c r="AI153" s="26" t="s">
        <v>618</v>
      </c>
      <c r="AM153" s="26" t="s">
        <v>338</v>
      </c>
      <c r="AN153" s="26" t="s">
        <v>209</v>
      </c>
      <c r="AO153" s="26" t="s">
        <v>618</v>
      </c>
      <c r="AP153" s="26" t="s">
        <v>154</v>
      </c>
      <c r="AQ153" s="26">
        <v>6</v>
      </c>
      <c r="AR153" s="26">
        <v>6</v>
      </c>
      <c r="AS153" s="26" t="s">
        <v>177</v>
      </c>
      <c r="AT153" s="26">
        <f t="shared" ref="AT153:AT161" si="16">112*1000</f>
        <v>112000</v>
      </c>
      <c r="AV153" s="26">
        <f t="shared" ref="AV153:AV161" si="17">50/0.96</f>
        <v>52.083333333333336</v>
      </c>
      <c r="AW153" s="63"/>
      <c r="BH153" s="26">
        <f>37.9*0.00061*100</f>
        <v>2.3118999999999996</v>
      </c>
      <c r="BI153" s="26">
        <f>39.5*0.00061*100</f>
        <v>2.4095</v>
      </c>
      <c r="BK153" s="26">
        <f>BH153/12.6*10000</f>
        <v>1834.8412698412696</v>
      </c>
      <c r="BL153" s="26">
        <f>BI153/11.8*10000</f>
        <v>2041.9491525423728</v>
      </c>
      <c r="BM153" s="26" t="s">
        <v>969</v>
      </c>
      <c r="DS153" s="12"/>
      <c r="DU153" s="15"/>
      <c r="EH153" s="26">
        <f>178*0.61/24</f>
        <v>4.5241666666666669</v>
      </c>
      <c r="EI153" s="26">
        <f t="shared" ref="EI153:EI156" si="18">214*0.61/24</f>
        <v>5.439166666666666</v>
      </c>
      <c r="EQ153" s="26">
        <f>815*1000000/1627500</f>
        <v>500.76804915514595</v>
      </c>
      <c r="ER153" s="26">
        <f t="shared" ref="ER153:ER156" si="19">987*1000000/1627500</f>
        <v>606.45161290322585</v>
      </c>
      <c r="ET153" s="26">
        <f>75*1000000/1627500</f>
        <v>46.082949308755758</v>
      </c>
      <c r="EU153" s="26">
        <f t="shared" ref="EU153:EU156" si="20">125*1000000/1627500</f>
        <v>76.804915514592935</v>
      </c>
      <c r="FA153" s="26" t="s">
        <v>351</v>
      </c>
      <c r="FC153" s="26">
        <v>13</v>
      </c>
    </row>
    <row r="154" spans="1:159" s="26" customFormat="1" x14ac:dyDescent="0.25">
      <c r="A154" s="26">
        <v>13</v>
      </c>
      <c r="B154" s="26" t="s">
        <v>324</v>
      </c>
      <c r="C154" s="26" t="s">
        <v>334</v>
      </c>
      <c r="D154" s="26">
        <v>1991</v>
      </c>
      <c r="E154" s="26">
        <v>1987</v>
      </c>
      <c r="F154" s="37" t="s">
        <v>335</v>
      </c>
      <c r="G154" s="26" t="s">
        <v>336</v>
      </c>
      <c r="H154" s="26">
        <v>50.53</v>
      </c>
      <c r="I154" s="26">
        <f t="shared" si="14"/>
        <v>-103.67</v>
      </c>
      <c r="J154" s="26">
        <v>579.1</v>
      </c>
      <c r="P154" s="52" t="s">
        <v>179</v>
      </c>
      <c r="Q154" s="52"/>
      <c r="R154" s="52"/>
      <c r="S154" s="52" t="s">
        <v>1647</v>
      </c>
      <c r="T154" s="52" t="s">
        <v>1647</v>
      </c>
      <c r="U154" s="26">
        <f t="shared" si="15"/>
        <v>1.085</v>
      </c>
      <c r="V154" s="26">
        <v>16.3</v>
      </c>
      <c r="W154" s="26">
        <v>20.6</v>
      </c>
      <c r="X154" s="26" t="s">
        <v>268</v>
      </c>
      <c r="AB154" s="26" t="s">
        <v>1554</v>
      </c>
      <c r="AC154" s="26" t="s">
        <v>337</v>
      </c>
      <c r="AD154" s="153" t="str">
        <f t="shared" si="13"/>
        <v>Sweetclover</v>
      </c>
      <c r="AE154" s="26" t="s">
        <v>1637</v>
      </c>
      <c r="AG154" s="26" t="s">
        <v>1641</v>
      </c>
      <c r="AH154" s="26" t="s">
        <v>347</v>
      </c>
      <c r="AI154" s="26" t="s">
        <v>618</v>
      </c>
      <c r="AM154" s="26" t="s">
        <v>209</v>
      </c>
      <c r="AN154" s="26" t="s">
        <v>209</v>
      </c>
      <c r="AO154" s="26" t="s">
        <v>618</v>
      </c>
      <c r="AP154" s="26" t="s">
        <v>154</v>
      </c>
      <c r="AQ154" s="26">
        <v>6</v>
      </c>
      <c r="AR154" s="26">
        <v>6</v>
      </c>
      <c r="AS154" s="26" t="s">
        <v>177</v>
      </c>
      <c r="AT154" s="26">
        <f t="shared" si="16"/>
        <v>112000</v>
      </c>
      <c r="AV154" s="26">
        <f t="shared" si="17"/>
        <v>52.083333333333336</v>
      </c>
      <c r="AW154" s="63"/>
      <c r="BH154" s="26">
        <f>36.4*0.00061*100</f>
        <v>2.2203999999999997</v>
      </c>
      <c r="BI154" s="26">
        <f t="shared" ref="BI154:BI156" si="21">39.5*0.00061*100</f>
        <v>2.4095</v>
      </c>
      <c r="BK154" s="26">
        <f>BH154/12.5*10000</f>
        <v>1776.32</v>
      </c>
      <c r="BL154" s="26">
        <f>BI154/11.8*10000</f>
        <v>2041.9491525423728</v>
      </c>
      <c r="BM154" s="26" t="s">
        <v>969</v>
      </c>
      <c r="DS154" s="12"/>
      <c r="DU154" s="15"/>
      <c r="EH154" s="26">
        <f>200*0.61/24</f>
        <v>5.083333333333333</v>
      </c>
      <c r="EI154" s="26">
        <f t="shared" si="18"/>
        <v>5.439166666666666</v>
      </c>
      <c r="EQ154" s="26">
        <f>804*1000000/1627500</f>
        <v>494.00921658986175</v>
      </c>
      <c r="ER154" s="26">
        <f t="shared" si="19"/>
        <v>606.45161290322585</v>
      </c>
      <c r="ET154" s="26">
        <f>89*1000000/1627500</f>
        <v>54.685099846390166</v>
      </c>
      <c r="EU154" s="26">
        <f t="shared" si="20"/>
        <v>76.804915514592935</v>
      </c>
      <c r="FA154" s="26" t="s">
        <v>351</v>
      </c>
      <c r="FC154" s="26">
        <v>13</v>
      </c>
    </row>
    <row r="155" spans="1:159" s="26" customFormat="1" x14ac:dyDescent="0.25">
      <c r="A155" s="26">
        <v>13</v>
      </c>
      <c r="B155" s="26" t="s">
        <v>324</v>
      </c>
      <c r="C155" s="26" t="s">
        <v>334</v>
      </c>
      <c r="D155" s="26">
        <v>1991</v>
      </c>
      <c r="E155" s="26">
        <v>1987</v>
      </c>
      <c r="F155" s="37" t="s">
        <v>335</v>
      </c>
      <c r="G155" s="26" t="s">
        <v>336</v>
      </c>
      <c r="H155" s="26">
        <v>50.53</v>
      </c>
      <c r="I155" s="26">
        <f t="shared" si="14"/>
        <v>-103.67</v>
      </c>
      <c r="J155" s="26">
        <v>579.1</v>
      </c>
      <c r="P155" s="52" t="s">
        <v>179</v>
      </c>
      <c r="Q155" s="52"/>
      <c r="R155" s="52"/>
      <c r="S155" s="52" t="s">
        <v>1647</v>
      </c>
      <c r="T155" s="52" t="s">
        <v>1647</v>
      </c>
      <c r="U155" s="26">
        <f t="shared" si="15"/>
        <v>1.085</v>
      </c>
      <c r="V155" s="26">
        <v>16.3</v>
      </c>
      <c r="W155" s="26">
        <v>20.6</v>
      </c>
      <c r="X155" s="26" t="s">
        <v>268</v>
      </c>
      <c r="AB155" s="26" t="s">
        <v>1554</v>
      </c>
      <c r="AC155" s="26" t="s">
        <v>337</v>
      </c>
      <c r="AD155" s="153" t="str">
        <f t="shared" si="13"/>
        <v>Sweetclover</v>
      </c>
      <c r="AE155" s="26" t="s">
        <v>1637</v>
      </c>
      <c r="AG155" s="26" t="s">
        <v>1641</v>
      </c>
      <c r="AH155" s="26" t="s">
        <v>347</v>
      </c>
      <c r="AI155" s="26" t="s">
        <v>618</v>
      </c>
      <c r="AM155" s="26" t="s">
        <v>338</v>
      </c>
      <c r="AN155" s="26" t="s">
        <v>209</v>
      </c>
      <c r="AO155" s="26" t="s">
        <v>618</v>
      </c>
      <c r="AP155" s="26" t="s">
        <v>154</v>
      </c>
      <c r="AQ155" s="26">
        <v>6</v>
      </c>
      <c r="AR155" s="26">
        <v>6</v>
      </c>
      <c r="AS155" s="26" t="s">
        <v>177</v>
      </c>
      <c r="AT155" s="26">
        <f t="shared" si="16"/>
        <v>112000</v>
      </c>
      <c r="AV155" s="26">
        <f t="shared" si="17"/>
        <v>52.083333333333336</v>
      </c>
      <c r="AW155" s="63"/>
      <c r="BH155" s="26">
        <f>38.5*0.00061*100</f>
        <v>2.3485</v>
      </c>
      <c r="BI155" s="26">
        <f t="shared" si="21"/>
        <v>2.4095</v>
      </c>
      <c r="BK155" s="26">
        <f>BH155/11.9*10000</f>
        <v>1973.5294117647059</v>
      </c>
      <c r="BL155" s="26">
        <f>BI155/11.8*10000</f>
        <v>2041.9491525423728</v>
      </c>
      <c r="BM155" s="26" t="s">
        <v>969</v>
      </c>
      <c r="DS155" s="12"/>
      <c r="DU155" s="15"/>
      <c r="EH155" s="26">
        <f>193*0.61/24</f>
        <v>4.9054166666666665</v>
      </c>
      <c r="EI155" s="26">
        <f t="shared" si="18"/>
        <v>5.439166666666666</v>
      </c>
      <c r="EQ155" s="26">
        <f>891*1000000/1627500</f>
        <v>547.46543778801845</v>
      </c>
      <c r="ER155" s="26">
        <f t="shared" si="19"/>
        <v>606.45161290322585</v>
      </c>
      <c r="ET155" s="26">
        <f>88*1000000/1627500</f>
        <v>54.070660522273428</v>
      </c>
      <c r="EU155" s="26">
        <f t="shared" si="20"/>
        <v>76.804915514592935</v>
      </c>
      <c r="FA155" s="26" t="s">
        <v>351</v>
      </c>
      <c r="FC155" s="26">
        <v>13</v>
      </c>
    </row>
    <row r="156" spans="1:159" s="26" customFormat="1" x14ac:dyDescent="0.25">
      <c r="A156" s="26">
        <v>13</v>
      </c>
      <c r="B156" s="26" t="s">
        <v>324</v>
      </c>
      <c r="C156" s="26" t="s">
        <v>334</v>
      </c>
      <c r="D156" s="26">
        <v>1991</v>
      </c>
      <c r="E156" s="26">
        <v>1987</v>
      </c>
      <c r="F156" s="37" t="s">
        <v>335</v>
      </c>
      <c r="G156" s="26" t="s">
        <v>336</v>
      </c>
      <c r="H156" s="26">
        <v>50.53</v>
      </c>
      <c r="I156" s="26">
        <f t="shared" si="14"/>
        <v>-103.67</v>
      </c>
      <c r="J156" s="26">
        <v>579.1</v>
      </c>
      <c r="P156" s="52" t="s">
        <v>179</v>
      </c>
      <c r="Q156" s="52"/>
      <c r="R156" s="52"/>
      <c r="S156" s="52" t="s">
        <v>1647</v>
      </c>
      <c r="T156" s="52" t="s">
        <v>1647</v>
      </c>
      <c r="U156" s="26">
        <f t="shared" si="15"/>
        <v>1.085</v>
      </c>
      <c r="V156" s="26">
        <v>16.3</v>
      </c>
      <c r="W156" s="26">
        <v>20.6</v>
      </c>
      <c r="X156" s="26" t="s">
        <v>268</v>
      </c>
      <c r="AB156" s="26" t="s">
        <v>1554</v>
      </c>
      <c r="AC156" s="26" t="s">
        <v>337</v>
      </c>
      <c r="AD156" s="153" t="str">
        <f t="shared" si="13"/>
        <v>Sweetclover</v>
      </c>
      <c r="AE156" s="26" t="s">
        <v>1637</v>
      </c>
      <c r="AG156" s="26" t="s">
        <v>1641</v>
      </c>
      <c r="AH156" s="26" t="s">
        <v>347</v>
      </c>
      <c r="AI156" s="26" t="s">
        <v>618</v>
      </c>
      <c r="AM156" s="26" t="s">
        <v>340</v>
      </c>
      <c r="AN156" s="26" t="s">
        <v>209</v>
      </c>
      <c r="AO156" s="26" t="s">
        <v>618</v>
      </c>
      <c r="AP156" s="26" t="s">
        <v>154</v>
      </c>
      <c r="AQ156" s="26">
        <v>6</v>
      </c>
      <c r="AR156" s="26">
        <v>6</v>
      </c>
      <c r="AS156" s="26" t="s">
        <v>177</v>
      </c>
      <c r="AT156" s="26">
        <f t="shared" si="16"/>
        <v>112000</v>
      </c>
      <c r="AV156" s="26">
        <f t="shared" si="17"/>
        <v>52.083333333333336</v>
      </c>
      <c r="AW156" s="63"/>
      <c r="BH156" s="26">
        <f>38.2*0.00061*100</f>
        <v>2.3302</v>
      </c>
      <c r="BI156" s="26">
        <f t="shared" si="21"/>
        <v>2.4095</v>
      </c>
      <c r="BK156" s="26">
        <f>BH156/12.7*10000</f>
        <v>1834.8031496062995</v>
      </c>
      <c r="BL156" s="26">
        <f>BI156/11.8*10000</f>
        <v>2041.9491525423728</v>
      </c>
      <c r="BM156" s="26" t="s">
        <v>969</v>
      </c>
      <c r="DS156" s="12"/>
      <c r="DU156" s="15"/>
      <c r="EH156" s="26">
        <f>168*0.61/24</f>
        <v>4.2700000000000005</v>
      </c>
      <c r="EI156" s="26">
        <f t="shared" si="18"/>
        <v>5.439166666666666</v>
      </c>
      <c r="EQ156" s="26">
        <f>833*1000000/1627500</f>
        <v>511.8279569892473</v>
      </c>
      <c r="ER156" s="26">
        <f t="shared" si="19"/>
        <v>606.45161290322585</v>
      </c>
      <c r="ET156" s="26">
        <f>80*1000000/1627500</f>
        <v>49.155145929339476</v>
      </c>
      <c r="EU156" s="26">
        <f t="shared" si="20"/>
        <v>76.804915514592935</v>
      </c>
      <c r="FA156" s="26" t="s">
        <v>351</v>
      </c>
      <c r="FC156" s="26">
        <v>13</v>
      </c>
    </row>
    <row r="157" spans="1:159" s="35" customFormat="1" x14ac:dyDescent="0.25">
      <c r="A157" s="35">
        <v>13</v>
      </c>
      <c r="B157" s="35" t="s">
        <v>324</v>
      </c>
      <c r="C157" s="35" t="s">
        <v>334</v>
      </c>
      <c r="D157" s="35">
        <v>1991</v>
      </c>
      <c r="E157" s="35">
        <v>1987</v>
      </c>
      <c r="F157" s="36" t="s">
        <v>335</v>
      </c>
      <c r="G157" s="35" t="s">
        <v>336</v>
      </c>
      <c r="H157" s="35">
        <v>50.53</v>
      </c>
      <c r="I157" s="35">
        <f t="shared" si="14"/>
        <v>-103.67</v>
      </c>
      <c r="J157" s="35">
        <v>579.1</v>
      </c>
      <c r="P157" s="54" t="s">
        <v>179</v>
      </c>
      <c r="Q157" s="54"/>
      <c r="R157" s="54"/>
      <c r="S157" s="54" t="s">
        <v>1647</v>
      </c>
      <c r="T157" s="54" t="s">
        <v>1647</v>
      </c>
      <c r="U157" s="35">
        <f>(0.95+1.22)/2</f>
        <v>1.085</v>
      </c>
      <c r="V157" s="35">
        <v>16.3</v>
      </c>
      <c r="W157" s="35">
        <v>20.6</v>
      </c>
      <c r="X157" s="35" t="s">
        <v>268</v>
      </c>
      <c r="AB157" s="35" t="s">
        <v>1554</v>
      </c>
      <c r="AC157" s="35" t="s">
        <v>337</v>
      </c>
      <c r="AD157" s="153" t="str">
        <f t="shared" si="13"/>
        <v>Sweetclover</v>
      </c>
      <c r="AE157" s="35" t="s">
        <v>1637</v>
      </c>
      <c r="AG157" s="35" t="s">
        <v>339</v>
      </c>
      <c r="AH157" s="35" t="s">
        <v>346</v>
      </c>
      <c r="AI157" s="35" t="s">
        <v>618</v>
      </c>
      <c r="AM157" s="35" t="s">
        <v>209</v>
      </c>
      <c r="AN157" s="26" t="s">
        <v>209</v>
      </c>
      <c r="AO157" s="35" t="s">
        <v>230</v>
      </c>
      <c r="AP157" s="35" t="s">
        <v>154</v>
      </c>
      <c r="AQ157" s="35">
        <v>6</v>
      </c>
      <c r="AR157" s="35">
        <v>6</v>
      </c>
      <c r="AS157" s="35" t="s">
        <v>177</v>
      </c>
      <c r="AT157" s="35">
        <f t="shared" si="16"/>
        <v>112000</v>
      </c>
      <c r="AV157" s="35">
        <f t="shared" si="17"/>
        <v>52.083333333333336</v>
      </c>
      <c r="AW157" s="63"/>
      <c r="BH157" s="35">
        <f>36.3*0.00061*100</f>
        <v>2.2142999999999997</v>
      </c>
      <c r="BI157" s="35">
        <f>39.9*0.00061*100</f>
        <v>2.4339</v>
      </c>
      <c r="BK157" s="35">
        <f>BH157/12.5*10000</f>
        <v>1771.4399999999996</v>
      </c>
      <c r="BL157" s="35">
        <f>BI157/12*10000</f>
        <v>2028.25</v>
      </c>
      <c r="BM157" s="35" t="s">
        <v>969</v>
      </c>
      <c r="DS157" s="12"/>
      <c r="DU157" s="15"/>
      <c r="EH157" s="35">
        <f>184*0.61/24</f>
        <v>4.6766666666666667</v>
      </c>
      <c r="EI157" s="35">
        <f>199*0.61/24</f>
        <v>5.0579166666666664</v>
      </c>
      <c r="EQ157" s="35">
        <f>905*1000000/1627500</f>
        <v>556.06758832565288</v>
      </c>
      <c r="ER157" s="35">
        <f>1094*1000000/1627500</f>
        <v>672.19662058371739</v>
      </c>
      <c r="ET157" s="35">
        <v>48.540706605222702</v>
      </c>
      <c r="EU157" s="35">
        <f>124*1000000/1627500</f>
        <v>76.19047619047619</v>
      </c>
      <c r="FA157" s="35" t="s">
        <v>351</v>
      </c>
      <c r="FC157" s="35">
        <v>13</v>
      </c>
    </row>
    <row r="158" spans="1:159" s="35" customFormat="1" x14ac:dyDescent="0.25">
      <c r="A158" s="35">
        <v>13</v>
      </c>
      <c r="B158" s="35" t="s">
        <v>324</v>
      </c>
      <c r="C158" s="35" t="s">
        <v>334</v>
      </c>
      <c r="D158" s="35">
        <v>1991</v>
      </c>
      <c r="E158" s="35">
        <v>1987</v>
      </c>
      <c r="F158" s="36" t="s">
        <v>335</v>
      </c>
      <c r="G158" s="35" t="s">
        <v>336</v>
      </c>
      <c r="H158" s="35">
        <v>50.53</v>
      </c>
      <c r="I158" s="35">
        <f t="shared" si="14"/>
        <v>-103.67</v>
      </c>
      <c r="J158" s="35">
        <v>579.1</v>
      </c>
      <c r="P158" s="54" t="s">
        <v>179</v>
      </c>
      <c r="Q158" s="54"/>
      <c r="R158" s="54"/>
      <c r="S158" s="54" t="s">
        <v>1647</v>
      </c>
      <c r="T158" s="54" t="s">
        <v>1647</v>
      </c>
      <c r="U158" s="35">
        <f t="shared" si="15"/>
        <v>1.085</v>
      </c>
      <c r="V158" s="35">
        <v>16.3</v>
      </c>
      <c r="W158" s="35">
        <v>20.6</v>
      </c>
      <c r="X158" s="35" t="s">
        <v>268</v>
      </c>
      <c r="AB158" s="35" t="s">
        <v>1554</v>
      </c>
      <c r="AC158" s="35" t="s">
        <v>337</v>
      </c>
      <c r="AD158" s="153" t="str">
        <f t="shared" si="13"/>
        <v>Sweetclover</v>
      </c>
      <c r="AE158" s="35" t="s">
        <v>1637</v>
      </c>
      <c r="AG158" s="35" t="s">
        <v>339</v>
      </c>
      <c r="AH158" s="35" t="s">
        <v>346</v>
      </c>
      <c r="AI158" s="35" t="s">
        <v>618</v>
      </c>
      <c r="AM158" s="35" t="s">
        <v>338</v>
      </c>
      <c r="AN158" s="26" t="s">
        <v>209</v>
      </c>
      <c r="AO158" s="35" t="s">
        <v>618</v>
      </c>
      <c r="AP158" s="35" t="s">
        <v>154</v>
      </c>
      <c r="AQ158" s="35">
        <v>6</v>
      </c>
      <c r="AR158" s="35">
        <v>6</v>
      </c>
      <c r="AS158" s="35" t="s">
        <v>177</v>
      </c>
      <c r="AT158" s="35">
        <f t="shared" si="16"/>
        <v>112000</v>
      </c>
      <c r="AV158" s="35">
        <f t="shared" si="17"/>
        <v>52.083333333333336</v>
      </c>
      <c r="AW158" s="63"/>
      <c r="BH158" s="35">
        <f>37.9*0.00061*100</f>
        <v>2.3118999999999996</v>
      </c>
      <c r="BI158" s="35">
        <f t="shared" ref="BI158:BI161" si="22">39.9*0.00061*100</f>
        <v>2.4339</v>
      </c>
      <c r="BK158" s="35">
        <f>BH158/12.6*10000</f>
        <v>1834.8412698412696</v>
      </c>
      <c r="BL158" s="35">
        <f>BI158/12*10000</f>
        <v>2028.25</v>
      </c>
      <c r="BM158" s="35" t="s">
        <v>969</v>
      </c>
      <c r="DS158" s="12"/>
      <c r="DU158" s="15"/>
      <c r="EH158" s="35">
        <f>178*0.61/24</f>
        <v>4.5241666666666669</v>
      </c>
      <c r="EI158" s="35">
        <f t="shared" ref="EI158:EI161" si="23">199*0.61/24</f>
        <v>5.0579166666666664</v>
      </c>
      <c r="EQ158" s="35">
        <f>815*1000000/1627500</f>
        <v>500.76804915514595</v>
      </c>
      <c r="ER158" s="35">
        <f t="shared" ref="ER158:ER161" si="24">1094*1000000/1627500</f>
        <v>672.19662058371739</v>
      </c>
      <c r="ET158" s="35">
        <v>46.082949308755758</v>
      </c>
      <c r="EU158" s="35">
        <f t="shared" ref="EU158:EU161" si="25">124*1000000/1627500</f>
        <v>76.19047619047619</v>
      </c>
      <c r="FA158" s="35" t="s">
        <v>351</v>
      </c>
      <c r="FC158" s="35">
        <v>13</v>
      </c>
    </row>
    <row r="159" spans="1:159" s="35" customFormat="1" x14ac:dyDescent="0.25">
      <c r="A159" s="35">
        <v>13</v>
      </c>
      <c r="B159" s="35" t="s">
        <v>324</v>
      </c>
      <c r="C159" s="35" t="s">
        <v>334</v>
      </c>
      <c r="D159" s="35">
        <v>1991</v>
      </c>
      <c r="E159" s="35">
        <v>1987</v>
      </c>
      <c r="F159" s="36" t="s">
        <v>335</v>
      </c>
      <c r="G159" s="35" t="s">
        <v>336</v>
      </c>
      <c r="H159" s="35">
        <v>50.53</v>
      </c>
      <c r="I159" s="35">
        <f t="shared" si="14"/>
        <v>-103.67</v>
      </c>
      <c r="J159" s="35">
        <v>579.1</v>
      </c>
      <c r="P159" s="54" t="s">
        <v>179</v>
      </c>
      <c r="Q159" s="54"/>
      <c r="R159" s="54"/>
      <c r="S159" s="54" t="s">
        <v>1647</v>
      </c>
      <c r="T159" s="54" t="s">
        <v>1647</v>
      </c>
      <c r="U159" s="35">
        <f t="shared" si="15"/>
        <v>1.085</v>
      </c>
      <c r="V159" s="35">
        <v>16.3</v>
      </c>
      <c r="W159" s="35">
        <v>20.6</v>
      </c>
      <c r="X159" s="35" t="s">
        <v>268</v>
      </c>
      <c r="AB159" s="35" t="s">
        <v>1554</v>
      </c>
      <c r="AC159" s="35" t="s">
        <v>337</v>
      </c>
      <c r="AD159" s="153" t="str">
        <f t="shared" si="13"/>
        <v>Sweetclover</v>
      </c>
      <c r="AE159" s="35" t="s">
        <v>1637</v>
      </c>
      <c r="AG159" s="35" t="s">
        <v>1641</v>
      </c>
      <c r="AH159" s="35" t="s">
        <v>346</v>
      </c>
      <c r="AI159" s="35" t="s">
        <v>618</v>
      </c>
      <c r="AM159" s="35" t="s">
        <v>209</v>
      </c>
      <c r="AN159" s="26" t="s">
        <v>209</v>
      </c>
      <c r="AO159" s="35" t="s">
        <v>618</v>
      </c>
      <c r="AP159" s="35" t="s">
        <v>154</v>
      </c>
      <c r="AQ159" s="35">
        <v>6</v>
      </c>
      <c r="AR159" s="35">
        <v>6</v>
      </c>
      <c r="AS159" s="35" t="s">
        <v>177</v>
      </c>
      <c r="AT159" s="35">
        <f t="shared" si="16"/>
        <v>112000</v>
      </c>
      <c r="AV159" s="35">
        <f t="shared" si="17"/>
        <v>52.083333333333336</v>
      </c>
      <c r="AW159" s="63"/>
      <c r="BH159" s="35">
        <f>36.4*0.00061*100</f>
        <v>2.2203999999999997</v>
      </c>
      <c r="BI159" s="35">
        <f t="shared" si="22"/>
        <v>2.4339</v>
      </c>
      <c r="BK159" s="35">
        <f>BH159/12.5*10000</f>
        <v>1776.32</v>
      </c>
      <c r="BL159" s="35">
        <f>BI159/12*10000</f>
        <v>2028.25</v>
      </c>
      <c r="BM159" s="35" t="s">
        <v>969</v>
      </c>
      <c r="DS159" s="12"/>
      <c r="DU159" s="15"/>
      <c r="EH159" s="35">
        <f>200*0.61/24</f>
        <v>5.083333333333333</v>
      </c>
      <c r="EI159" s="35">
        <f t="shared" si="23"/>
        <v>5.0579166666666664</v>
      </c>
      <c r="EQ159" s="35">
        <f>804*1000000/1627500</f>
        <v>494.00921658986175</v>
      </c>
      <c r="ER159" s="35">
        <f t="shared" si="24"/>
        <v>672.19662058371739</v>
      </c>
      <c r="ET159" s="35">
        <v>54.685099846390166</v>
      </c>
      <c r="EU159" s="35">
        <f t="shared" si="25"/>
        <v>76.19047619047619</v>
      </c>
      <c r="FA159" s="35" t="s">
        <v>351</v>
      </c>
      <c r="FC159" s="35">
        <v>13</v>
      </c>
    </row>
    <row r="160" spans="1:159" s="35" customFormat="1" x14ac:dyDescent="0.25">
      <c r="A160" s="35">
        <v>13</v>
      </c>
      <c r="B160" s="35" t="s">
        <v>324</v>
      </c>
      <c r="C160" s="35" t="s">
        <v>334</v>
      </c>
      <c r="D160" s="35">
        <v>1991</v>
      </c>
      <c r="E160" s="35">
        <v>1987</v>
      </c>
      <c r="F160" s="36" t="s">
        <v>335</v>
      </c>
      <c r="G160" s="35" t="s">
        <v>336</v>
      </c>
      <c r="H160" s="35">
        <v>50.53</v>
      </c>
      <c r="I160" s="35">
        <f t="shared" si="14"/>
        <v>-103.67</v>
      </c>
      <c r="J160" s="35">
        <v>579.1</v>
      </c>
      <c r="P160" s="54" t="s">
        <v>179</v>
      </c>
      <c r="Q160" s="54"/>
      <c r="R160" s="54"/>
      <c r="S160" s="54" t="s">
        <v>1647</v>
      </c>
      <c r="T160" s="54" t="s">
        <v>1647</v>
      </c>
      <c r="U160" s="35">
        <f t="shared" si="15"/>
        <v>1.085</v>
      </c>
      <c r="V160" s="35">
        <v>16.3</v>
      </c>
      <c r="W160" s="35">
        <v>20.6</v>
      </c>
      <c r="X160" s="35" t="s">
        <v>268</v>
      </c>
      <c r="AB160" s="35" t="s">
        <v>1554</v>
      </c>
      <c r="AC160" s="35" t="s">
        <v>337</v>
      </c>
      <c r="AD160" s="153" t="str">
        <f t="shared" si="13"/>
        <v>Sweetclover</v>
      </c>
      <c r="AE160" s="35" t="s">
        <v>1637</v>
      </c>
      <c r="AG160" s="35" t="s">
        <v>1641</v>
      </c>
      <c r="AH160" s="35" t="s">
        <v>346</v>
      </c>
      <c r="AI160" s="35" t="s">
        <v>618</v>
      </c>
      <c r="AM160" s="35" t="s">
        <v>338</v>
      </c>
      <c r="AN160" s="26" t="s">
        <v>209</v>
      </c>
      <c r="AO160" s="35" t="s">
        <v>618</v>
      </c>
      <c r="AP160" s="35" t="s">
        <v>154</v>
      </c>
      <c r="AQ160" s="35">
        <v>6</v>
      </c>
      <c r="AR160" s="35">
        <v>6</v>
      </c>
      <c r="AS160" s="35" t="s">
        <v>177</v>
      </c>
      <c r="AT160" s="35">
        <f t="shared" si="16"/>
        <v>112000</v>
      </c>
      <c r="AV160" s="35">
        <f t="shared" si="17"/>
        <v>52.083333333333336</v>
      </c>
      <c r="AW160" s="63"/>
      <c r="BH160" s="35">
        <f>38.5*0.00061*100</f>
        <v>2.3485</v>
      </c>
      <c r="BI160" s="35">
        <f t="shared" si="22"/>
        <v>2.4339</v>
      </c>
      <c r="BK160" s="35">
        <f>BH160/11.9*10000</f>
        <v>1973.5294117647059</v>
      </c>
      <c r="BL160" s="35">
        <f>BI160/12*10000</f>
        <v>2028.25</v>
      </c>
      <c r="BM160" s="35" t="s">
        <v>969</v>
      </c>
      <c r="DS160" s="12"/>
      <c r="DU160" s="15"/>
      <c r="EH160" s="35">
        <f>193*0.61/24</f>
        <v>4.9054166666666665</v>
      </c>
      <c r="EI160" s="35">
        <f t="shared" si="23"/>
        <v>5.0579166666666664</v>
      </c>
      <c r="EQ160" s="35">
        <f>891*1000000/1627500</f>
        <v>547.46543778801845</v>
      </c>
      <c r="ER160" s="35">
        <f t="shared" si="24"/>
        <v>672.19662058371739</v>
      </c>
      <c r="ET160" s="35">
        <v>54.070660522273428</v>
      </c>
      <c r="EU160" s="35">
        <f t="shared" si="25"/>
        <v>76.19047619047619</v>
      </c>
      <c r="FA160" s="35" t="s">
        <v>351</v>
      </c>
      <c r="FC160" s="35">
        <v>13</v>
      </c>
    </row>
    <row r="161" spans="1:159" s="35" customFormat="1" x14ac:dyDescent="0.25">
      <c r="A161" s="35">
        <v>13</v>
      </c>
      <c r="B161" s="35" t="s">
        <v>324</v>
      </c>
      <c r="C161" s="35" t="s">
        <v>334</v>
      </c>
      <c r="D161" s="35">
        <v>1991</v>
      </c>
      <c r="E161" s="35">
        <v>1987</v>
      </c>
      <c r="F161" s="36" t="s">
        <v>335</v>
      </c>
      <c r="G161" s="35" t="s">
        <v>336</v>
      </c>
      <c r="H161" s="35">
        <v>50.53</v>
      </c>
      <c r="I161" s="35">
        <f t="shared" si="14"/>
        <v>-103.67</v>
      </c>
      <c r="J161" s="35">
        <v>579.1</v>
      </c>
      <c r="P161" s="54" t="s">
        <v>179</v>
      </c>
      <c r="Q161" s="54"/>
      <c r="R161" s="54"/>
      <c r="S161" s="54" t="s">
        <v>1647</v>
      </c>
      <c r="T161" s="54" t="s">
        <v>1647</v>
      </c>
      <c r="U161" s="35">
        <f t="shared" si="15"/>
        <v>1.085</v>
      </c>
      <c r="V161" s="35">
        <v>16.3</v>
      </c>
      <c r="W161" s="35">
        <v>20.6</v>
      </c>
      <c r="X161" s="35" t="s">
        <v>268</v>
      </c>
      <c r="AB161" s="35" t="s">
        <v>1554</v>
      </c>
      <c r="AC161" s="35" t="s">
        <v>337</v>
      </c>
      <c r="AD161" s="153" t="str">
        <f t="shared" si="13"/>
        <v>Sweetclover</v>
      </c>
      <c r="AE161" s="35" t="s">
        <v>1637</v>
      </c>
      <c r="AG161" s="35" t="s">
        <v>1641</v>
      </c>
      <c r="AH161" s="35" t="s">
        <v>346</v>
      </c>
      <c r="AI161" s="35" t="s">
        <v>618</v>
      </c>
      <c r="AM161" s="35" t="s">
        <v>340</v>
      </c>
      <c r="AN161" s="26" t="s">
        <v>209</v>
      </c>
      <c r="AO161" s="35" t="s">
        <v>618</v>
      </c>
      <c r="AP161" s="35" t="s">
        <v>154</v>
      </c>
      <c r="AQ161" s="35">
        <v>6</v>
      </c>
      <c r="AR161" s="35">
        <v>6</v>
      </c>
      <c r="AS161" s="35" t="s">
        <v>177</v>
      </c>
      <c r="AT161" s="35">
        <f t="shared" si="16"/>
        <v>112000</v>
      </c>
      <c r="AV161" s="35">
        <f t="shared" si="17"/>
        <v>52.083333333333336</v>
      </c>
      <c r="AW161" s="63"/>
      <c r="BH161" s="35">
        <f>38.2*0.00061*100</f>
        <v>2.3302</v>
      </c>
      <c r="BI161" s="35">
        <f t="shared" si="22"/>
        <v>2.4339</v>
      </c>
      <c r="BK161" s="35">
        <f>BH161/12.7*10000</f>
        <v>1834.8031496062995</v>
      </c>
      <c r="BL161" s="35">
        <f>BI161/12*10000</f>
        <v>2028.25</v>
      </c>
      <c r="BM161" s="35" t="s">
        <v>969</v>
      </c>
      <c r="DS161" s="12"/>
      <c r="DU161" s="15"/>
      <c r="EH161" s="35">
        <f>168*0.61/24</f>
        <v>4.2700000000000005</v>
      </c>
      <c r="EI161" s="35">
        <f t="shared" si="23"/>
        <v>5.0579166666666664</v>
      </c>
      <c r="EQ161" s="35">
        <f>833*1000000/1627500</f>
        <v>511.8279569892473</v>
      </c>
      <c r="ER161" s="35">
        <f t="shared" si="24"/>
        <v>672.19662058371739</v>
      </c>
      <c r="ET161" s="35">
        <v>49.155145929339476</v>
      </c>
      <c r="EU161" s="35">
        <f t="shared" si="25"/>
        <v>76.19047619047619</v>
      </c>
      <c r="FA161" s="35" t="s">
        <v>351</v>
      </c>
      <c r="FC161" s="35">
        <v>13</v>
      </c>
    </row>
    <row r="162" spans="1:159" s="26" customFormat="1" x14ac:dyDescent="0.25">
      <c r="A162" s="26">
        <v>13</v>
      </c>
      <c r="B162" s="26" t="s">
        <v>324</v>
      </c>
      <c r="C162" s="26" t="s">
        <v>334</v>
      </c>
      <c r="D162" s="26">
        <v>1991</v>
      </c>
      <c r="E162" s="26">
        <v>1987</v>
      </c>
      <c r="F162" s="37" t="s">
        <v>335</v>
      </c>
      <c r="G162" s="26" t="s">
        <v>336</v>
      </c>
      <c r="H162" s="26">
        <v>50.53</v>
      </c>
      <c r="I162" s="26">
        <f t="shared" si="14"/>
        <v>-103.67</v>
      </c>
      <c r="J162" s="26">
        <v>579.1</v>
      </c>
      <c r="P162" s="52" t="s">
        <v>179</v>
      </c>
      <c r="Q162" s="52"/>
      <c r="R162" s="52"/>
      <c r="S162" s="52" t="s">
        <v>1647</v>
      </c>
      <c r="T162" s="52" t="s">
        <v>1647</v>
      </c>
      <c r="U162" s="26">
        <f>(0.95+1.22)/2</f>
        <v>1.085</v>
      </c>
      <c r="V162" s="26">
        <v>16.3</v>
      </c>
      <c r="W162" s="26">
        <v>20.6</v>
      </c>
      <c r="X162" s="26" t="s">
        <v>268</v>
      </c>
      <c r="AB162" s="26" t="s">
        <v>1554</v>
      </c>
      <c r="AC162" s="26" t="s">
        <v>1857</v>
      </c>
      <c r="AD162" s="153" t="str">
        <f t="shared" si="13"/>
        <v>Alfalfa/bromegrass</v>
      </c>
      <c r="AE162" s="26" t="s">
        <v>1637</v>
      </c>
      <c r="AG162" s="26" t="s">
        <v>339</v>
      </c>
      <c r="AH162" s="26" t="s">
        <v>348</v>
      </c>
      <c r="AI162" s="26" t="s">
        <v>618</v>
      </c>
      <c r="AM162" s="26" t="s">
        <v>209</v>
      </c>
      <c r="AN162" s="26" t="s">
        <v>209</v>
      </c>
      <c r="AO162" s="26" t="s">
        <v>230</v>
      </c>
      <c r="AP162" s="26" t="s">
        <v>154</v>
      </c>
      <c r="AQ162" s="26">
        <v>6</v>
      </c>
      <c r="AR162" s="26">
        <v>6</v>
      </c>
      <c r="AS162" s="26" t="s">
        <v>177</v>
      </c>
      <c r="AT162" s="26">
        <f>117*1000</f>
        <v>117000</v>
      </c>
      <c r="AV162" s="26">
        <f>49/1.47</f>
        <v>33.333333333333336</v>
      </c>
      <c r="AW162" s="63"/>
      <c r="BH162" s="26">
        <f>36.3*0.00061*100</f>
        <v>2.2142999999999997</v>
      </c>
      <c r="BI162" s="26">
        <f>41.5*0.00061*100</f>
        <v>2.5314999999999999</v>
      </c>
      <c r="BK162" s="26">
        <f>BH162/12.5*10000</f>
        <v>1771.4399999999996</v>
      </c>
      <c r="BL162" s="26">
        <f>BI162/12.2*10000</f>
        <v>2075</v>
      </c>
      <c r="BM162" s="26" t="s">
        <v>969</v>
      </c>
      <c r="DS162" s="12"/>
      <c r="DU162" s="15"/>
      <c r="EH162" s="26">
        <f>184*0.61/24</f>
        <v>4.6766666666666667</v>
      </c>
      <c r="EI162" s="26">
        <f>227*0.61/24</f>
        <v>5.7695833333333333</v>
      </c>
      <c r="EQ162" s="26">
        <f>905*1000000/1627500</f>
        <v>556.06758832565288</v>
      </c>
      <c r="ER162" s="26">
        <f>1074*1000000/1627500</f>
        <v>659.90783410138249</v>
      </c>
      <c r="ET162" s="26">
        <v>48.540706605222702</v>
      </c>
      <c r="EU162" s="26">
        <f>128*1000000/1627500</f>
        <v>78.64823348694317</v>
      </c>
      <c r="FA162" s="26" t="s">
        <v>351</v>
      </c>
      <c r="FC162" s="26">
        <v>13</v>
      </c>
    </row>
    <row r="163" spans="1:159" s="26" customFormat="1" x14ac:dyDescent="0.25">
      <c r="A163" s="26">
        <v>13</v>
      </c>
      <c r="B163" s="26" t="s">
        <v>324</v>
      </c>
      <c r="C163" s="26" t="s">
        <v>334</v>
      </c>
      <c r="D163" s="26">
        <v>1991</v>
      </c>
      <c r="E163" s="26">
        <v>1987</v>
      </c>
      <c r="F163" s="37" t="s">
        <v>335</v>
      </c>
      <c r="G163" s="26" t="s">
        <v>336</v>
      </c>
      <c r="H163" s="26">
        <v>50.53</v>
      </c>
      <c r="I163" s="26">
        <f t="shared" si="14"/>
        <v>-103.67</v>
      </c>
      <c r="J163" s="26">
        <v>579.1</v>
      </c>
      <c r="P163" s="52" t="s">
        <v>179</v>
      </c>
      <c r="Q163" s="52"/>
      <c r="R163" s="52"/>
      <c r="S163" s="52" t="s">
        <v>1647</v>
      </c>
      <c r="T163" s="52" t="s">
        <v>1647</v>
      </c>
      <c r="U163" s="26">
        <f t="shared" si="15"/>
        <v>1.085</v>
      </c>
      <c r="V163" s="26">
        <v>16.3</v>
      </c>
      <c r="W163" s="26">
        <v>20.6</v>
      </c>
      <c r="X163" s="26" t="s">
        <v>268</v>
      </c>
      <c r="AB163" s="26" t="s">
        <v>1554</v>
      </c>
      <c r="AC163" s="26" t="s">
        <v>1857</v>
      </c>
      <c r="AD163" s="153" t="str">
        <f t="shared" si="13"/>
        <v>Alfalfa/bromegrass</v>
      </c>
      <c r="AE163" s="26" t="s">
        <v>1637</v>
      </c>
      <c r="AG163" s="26" t="s">
        <v>339</v>
      </c>
      <c r="AH163" s="26" t="s">
        <v>348</v>
      </c>
      <c r="AI163" s="26" t="s">
        <v>618</v>
      </c>
      <c r="AM163" s="26" t="s">
        <v>338</v>
      </c>
      <c r="AN163" s="26" t="s">
        <v>209</v>
      </c>
      <c r="AO163" s="26" t="s">
        <v>618</v>
      </c>
      <c r="AP163" s="26" t="s">
        <v>154</v>
      </c>
      <c r="AQ163" s="26">
        <v>6</v>
      </c>
      <c r="AR163" s="26">
        <v>6</v>
      </c>
      <c r="AS163" s="26" t="s">
        <v>177</v>
      </c>
      <c r="AT163" s="26">
        <f t="shared" ref="AT163:AT171" si="26">117*1000</f>
        <v>117000</v>
      </c>
      <c r="AV163" s="26">
        <f t="shared" ref="AV163:AV171" si="27">49/1.47</f>
        <v>33.333333333333336</v>
      </c>
      <c r="AW163" s="63"/>
      <c r="BH163" s="26">
        <f>37.9*0.00061*100</f>
        <v>2.3118999999999996</v>
      </c>
      <c r="BI163" s="26">
        <f t="shared" ref="BI163:BI166" si="28">41.5*0.00061*100</f>
        <v>2.5314999999999999</v>
      </c>
      <c r="BK163" s="26">
        <f>BH163/12.6*10000</f>
        <v>1834.8412698412696</v>
      </c>
      <c r="BL163" s="26">
        <f>BI163/12.2*10000</f>
        <v>2075</v>
      </c>
      <c r="BM163" s="26" t="s">
        <v>969</v>
      </c>
      <c r="DS163" s="12"/>
      <c r="DU163" s="15"/>
      <c r="EH163" s="26">
        <f>178*0.61/24</f>
        <v>4.5241666666666669</v>
      </c>
      <c r="EI163" s="26">
        <f t="shared" ref="EI163:EI166" si="29">227*0.61/24</f>
        <v>5.7695833333333333</v>
      </c>
      <c r="EQ163" s="26">
        <f>815*1000000/1627500</f>
        <v>500.76804915514595</v>
      </c>
      <c r="ER163" s="26">
        <f t="shared" ref="ER163:ER166" si="30">1074*1000000/1627500</f>
        <v>659.90783410138249</v>
      </c>
      <c r="ET163" s="26">
        <v>46.082949308755758</v>
      </c>
      <c r="EU163" s="26">
        <f t="shared" ref="EU163:EU166" si="31">128*1000000/1627500</f>
        <v>78.64823348694317</v>
      </c>
      <c r="FA163" s="26" t="s">
        <v>351</v>
      </c>
      <c r="FC163" s="26">
        <v>13</v>
      </c>
    </row>
    <row r="164" spans="1:159" s="26" customFormat="1" x14ac:dyDescent="0.25">
      <c r="A164" s="26">
        <v>13</v>
      </c>
      <c r="B164" s="26" t="s">
        <v>324</v>
      </c>
      <c r="C164" s="26" t="s">
        <v>334</v>
      </c>
      <c r="D164" s="26">
        <v>1991</v>
      </c>
      <c r="E164" s="26">
        <v>1987</v>
      </c>
      <c r="F164" s="37" t="s">
        <v>335</v>
      </c>
      <c r="G164" s="26" t="s">
        <v>336</v>
      </c>
      <c r="H164" s="26">
        <v>50.53</v>
      </c>
      <c r="I164" s="26">
        <f t="shared" si="14"/>
        <v>-103.67</v>
      </c>
      <c r="J164" s="26">
        <v>579.1</v>
      </c>
      <c r="P164" s="52" t="s">
        <v>179</v>
      </c>
      <c r="Q164" s="52"/>
      <c r="R164" s="52"/>
      <c r="S164" s="52" t="s">
        <v>1647</v>
      </c>
      <c r="T164" s="52" t="s">
        <v>1647</v>
      </c>
      <c r="U164" s="26">
        <f t="shared" si="15"/>
        <v>1.085</v>
      </c>
      <c r="V164" s="26">
        <v>16.3</v>
      </c>
      <c r="W164" s="26">
        <v>20.6</v>
      </c>
      <c r="X164" s="26" t="s">
        <v>268</v>
      </c>
      <c r="AB164" s="26" t="s">
        <v>1554</v>
      </c>
      <c r="AC164" s="26" t="s">
        <v>1857</v>
      </c>
      <c r="AD164" s="153" t="str">
        <f t="shared" si="13"/>
        <v>Alfalfa/bromegrass</v>
      </c>
      <c r="AE164" s="26" t="s">
        <v>1637</v>
      </c>
      <c r="AG164" s="26" t="s">
        <v>1641</v>
      </c>
      <c r="AH164" s="26" t="s">
        <v>348</v>
      </c>
      <c r="AI164" s="26" t="s">
        <v>618</v>
      </c>
      <c r="AM164" s="26" t="s">
        <v>209</v>
      </c>
      <c r="AN164" s="26" t="s">
        <v>209</v>
      </c>
      <c r="AO164" s="26" t="s">
        <v>618</v>
      </c>
      <c r="AP164" s="26" t="s">
        <v>154</v>
      </c>
      <c r="AQ164" s="26">
        <v>6</v>
      </c>
      <c r="AR164" s="26">
        <v>6</v>
      </c>
      <c r="AS164" s="26" t="s">
        <v>177</v>
      </c>
      <c r="AT164" s="26">
        <f t="shared" si="26"/>
        <v>117000</v>
      </c>
      <c r="AV164" s="26">
        <f t="shared" si="27"/>
        <v>33.333333333333336</v>
      </c>
      <c r="AW164" s="63"/>
      <c r="BH164" s="26">
        <f>36.4*0.00061*100</f>
        <v>2.2203999999999997</v>
      </c>
      <c r="BI164" s="26">
        <f t="shared" si="28"/>
        <v>2.5314999999999999</v>
      </c>
      <c r="BK164" s="26">
        <f>BH164/12.5*10000</f>
        <v>1776.32</v>
      </c>
      <c r="BL164" s="26">
        <f>BI164/12.2*10000</f>
        <v>2075</v>
      </c>
      <c r="BM164" s="26" t="s">
        <v>969</v>
      </c>
      <c r="DS164" s="12"/>
      <c r="DU164" s="15"/>
      <c r="EH164" s="26">
        <f>200*0.61/24</f>
        <v>5.083333333333333</v>
      </c>
      <c r="EI164" s="26">
        <f t="shared" si="29"/>
        <v>5.7695833333333333</v>
      </c>
      <c r="EQ164" s="26">
        <f>804*1000000/1627500</f>
        <v>494.00921658986175</v>
      </c>
      <c r="ER164" s="26">
        <f t="shared" si="30"/>
        <v>659.90783410138249</v>
      </c>
      <c r="ET164" s="26">
        <v>54.685099846390166</v>
      </c>
      <c r="EU164" s="26">
        <f t="shared" si="31"/>
        <v>78.64823348694317</v>
      </c>
      <c r="FA164" s="26" t="s">
        <v>351</v>
      </c>
      <c r="FC164" s="26">
        <v>13</v>
      </c>
    </row>
    <row r="165" spans="1:159" s="26" customFormat="1" x14ac:dyDescent="0.25">
      <c r="A165" s="26">
        <v>13</v>
      </c>
      <c r="B165" s="26" t="s">
        <v>324</v>
      </c>
      <c r="C165" s="26" t="s">
        <v>334</v>
      </c>
      <c r="D165" s="26">
        <v>1991</v>
      </c>
      <c r="E165" s="26">
        <v>1987</v>
      </c>
      <c r="F165" s="37" t="s">
        <v>335</v>
      </c>
      <c r="G165" s="26" t="s">
        <v>336</v>
      </c>
      <c r="H165" s="26">
        <v>50.53</v>
      </c>
      <c r="I165" s="26">
        <f t="shared" si="14"/>
        <v>-103.67</v>
      </c>
      <c r="J165" s="26">
        <v>579.1</v>
      </c>
      <c r="P165" s="52" t="s">
        <v>179</v>
      </c>
      <c r="Q165" s="52"/>
      <c r="R165" s="52"/>
      <c r="S165" s="52" t="s">
        <v>1647</v>
      </c>
      <c r="T165" s="52" t="s">
        <v>1647</v>
      </c>
      <c r="U165" s="26">
        <f t="shared" si="15"/>
        <v>1.085</v>
      </c>
      <c r="V165" s="26">
        <v>16.3</v>
      </c>
      <c r="W165" s="26">
        <v>20.6</v>
      </c>
      <c r="X165" s="26" t="s">
        <v>268</v>
      </c>
      <c r="AB165" s="26" t="s">
        <v>1554</v>
      </c>
      <c r="AC165" s="26" t="s">
        <v>1857</v>
      </c>
      <c r="AD165" s="153" t="str">
        <f t="shared" si="13"/>
        <v>Alfalfa/bromegrass</v>
      </c>
      <c r="AE165" s="26" t="s">
        <v>1637</v>
      </c>
      <c r="AG165" s="26" t="s">
        <v>1641</v>
      </c>
      <c r="AH165" s="26" t="s">
        <v>348</v>
      </c>
      <c r="AI165" s="26" t="s">
        <v>618</v>
      </c>
      <c r="AM165" s="26" t="s">
        <v>338</v>
      </c>
      <c r="AN165" s="26" t="s">
        <v>209</v>
      </c>
      <c r="AO165" s="26" t="s">
        <v>618</v>
      </c>
      <c r="AP165" s="26" t="s">
        <v>154</v>
      </c>
      <c r="AQ165" s="26">
        <v>6</v>
      </c>
      <c r="AR165" s="26">
        <v>6</v>
      </c>
      <c r="AS165" s="26" t="s">
        <v>177</v>
      </c>
      <c r="AT165" s="26">
        <f t="shared" si="26"/>
        <v>117000</v>
      </c>
      <c r="AV165" s="26">
        <f t="shared" si="27"/>
        <v>33.333333333333336</v>
      </c>
      <c r="AW165" s="63"/>
      <c r="BH165" s="26">
        <f>38.5*0.00061*100</f>
        <v>2.3485</v>
      </c>
      <c r="BI165" s="26">
        <f t="shared" si="28"/>
        <v>2.5314999999999999</v>
      </c>
      <c r="BK165" s="26">
        <f>BH165/11.9*10000</f>
        <v>1973.5294117647059</v>
      </c>
      <c r="BL165" s="26">
        <f>BI165/12.2*10000</f>
        <v>2075</v>
      </c>
      <c r="BM165" s="26" t="s">
        <v>969</v>
      </c>
      <c r="DS165" s="12"/>
      <c r="DU165" s="15"/>
      <c r="EH165" s="26">
        <f>193*0.61/24</f>
        <v>4.9054166666666665</v>
      </c>
      <c r="EI165" s="26">
        <f t="shared" si="29"/>
        <v>5.7695833333333333</v>
      </c>
      <c r="EQ165" s="26">
        <f>891*1000000/1627500</f>
        <v>547.46543778801845</v>
      </c>
      <c r="ER165" s="26">
        <f t="shared" si="30"/>
        <v>659.90783410138249</v>
      </c>
      <c r="ET165" s="26">
        <v>54.070660522273428</v>
      </c>
      <c r="EU165" s="26">
        <f t="shared" si="31"/>
        <v>78.64823348694317</v>
      </c>
      <c r="FA165" s="26" t="s">
        <v>351</v>
      </c>
      <c r="FC165" s="26">
        <v>13</v>
      </c>
    </row>
    <row r="166" spans="1:159" s="26" customFormat="1" x14ac:dyDescent="0.25">
      <c r="A166" s="26">
        <v>13</v>
      </c>
      <c r="B166" s="26" t="s">
        <v>324</v>
      </c>
      <c r="C166" s="26" t="s">
        <v>334</v>
      </c>
      <c r="D166" s="26">
        <v>1991</v>
      </c>
      <c r="E166" s="26">
        <v>1987</v>
      </c>
      <c r="F166" s="37" t="s">
        <v>335</v>
      </c>
      <c r="G166" s="26" t="s">
        <v>336</v>
      </c>
      <c r="H166" s="26">
        <v>50.53</v>
      </c>
      <c r="I166" s="26">
        <f t="shared" si="14"/>
        <v>-103.67</v>
      </c>
      <c r="J166" s="26">
        <v>579.1</v>
      </c>
      <c r="P166" s="52" t="s">
        <v>179</v>
      </c>
      <c r="Q166" s="52"/>
      <c r="R166" s="52"/>
      <c r="S166" s="52" t="s">
        <v>1647</v>
      </c>
      <c r="T166" s="52" t="s">
        <v>1647</v>
      </c>
      <c r="U166" s="26">
        <f t="shared" si="15"/>
        <v>1.085</v>
      </c>
      <c r="V166" s="26">
        <v>16.3</v>
      </c>
      <c r="W166" s="26">
        <v>20.6</v>
      </c>
      <c r="X166" s="26" t="s">
        <v>268</v>
      </c>
      <c r="AB166" s="26" t="s">
        <v>1554</v>
      </c>
      <c r="AC166" s="26" t="s">
        <v>1857</v>
      </c>
      <c r="AD166" s="153" t="str">
        <f t="shared" si="13"/>
        <v>Alfalfa/bromegrass</v>
      </c>
      <c r="AE166" s="26" t="s">
        <v>1637</v>
      </c>
      <c r="AG166" s="26" t="s">
        <v>1641</v>
      </c>
      <c r="AH166" s="26" t="s">
        <v>348</v>
      </c>
      <c r="AI166" s="26" t="s">
        <v>618</v>
      </c>
      <c r="AM166" s="26" t="s">
        <v>340</v>
      </c>
      <c r="AN166" s="26" t="s">
        <v>209</v>
      </c>
      <c r="AO166" s="26" t="s">
        <v>618</v>
      </c>
      <c r="AP166" s="26" t="s">
        <v>154</v>
      </c>
      <c r="AQ166" s="26">
        <v>6</v>
      </c>
      <c r="AR166" s="26">
        <v>6</v>
      </c>
      <c r="AS166" s="26" t="s">
        <v>177</v>
      </c>
      <c r="AT166" s="26">
        <f t="shared" si="26"/>
        <v>117000</v>
      </c>
      <c r="AV166" s="26">
        <f t="shared" si="27"/>
        <v>33.333333333333336</v>
      </c>
      <c r="AW166" s="63"/>
      <c r="BH166" s="26">
        <f>38.2*0.00061*100</f>
        <v>2.3302</v>
      </c>
      <c r="BI166" s="26">
        <f t="shared" si="28"/>
        <v>2.5314999999999999</v>
      </c>
      <c r="BK166" s="26">
        <f>BH166/12.7*10000</f>
        <v>1834.8031496062995</v>
      </c>
      <c r="BL166" s="26">
        <f>BI166/12.2*10000</f>
        <v>2075</v>
      </c>
      <c r="BM166" s="26" t="s">
        <v>969</v>
      </c>
      <c r="DS166" s="12"/>
      <c r="DU166" s="15"/>
      <c r="EH166" s="26">
        <f>168*0.61/24</f>
        <v>4.2700000000000005</v>
      </c>
      <c r="EI166" s="26">
        <f t="shared" si="29"/>
        <v>5.7695833333333333</v>
      </c>
      <c r="EQ166" s="26">
        <f>833*1000000/1627500</f>
        <v>511.8279569892473</v>
      </c>
      <c r="ER166" s="26">
        <f t="shared" si="30"/>
        <v>659.90783410138249</v>
      </c>
      <c r="ET166" s="26">
        <v>49.155145929339476</v>
      </c>
      <c r="EU166" s="26">
        <f t="shared" si="31"/>
        <v>78.64823348694317</v>
      </c>
      <c r="FA166" s="26" t="s">
        <v>351</v>
      </c>
      <c r="FC166" s="26">
        <v>13</v>
      </c>
    </row>
    <row r="167" spans="1:159" s="35" customFormat="1" x14ac:dyDescent="0.25">
      <c r="A167" s="35">
        <v>13</v>
      </c>
      <c r="B167" s="35" t="s">
        <v>324</v>
      </c>
      <c r="C167" s="35" t="s">
        <v>334</v>
      </c>
      <c r="D167" s="35">
        <v>1991</v>
      </c>
      <c r="E167" s="35">
        <v>1987</v>
      </c>
      <c r="F167" s="36" t="s">
        <v>335</v>
      </c>
      <c r="G167" s="35" t="s">
        <v>336</v>
      </c>
      <c r="H167" s="35">
        <v>50.53</v>
      </c>
      <c r="I167" s="35">
        <f t="shared" si="14"/>
        <v>-103.67</v>
      </c>
      <c r="J167" s="35">
        <v>579.1</v>
      </c>
      <c r="P167" s="54" t="s">
        <v>179</v>
      </c>
      <c r="Q167" s="54"/>
      <c r="R167" s="54"/>
      <c r="S167" s="54" t="s">
        <v>1647</v>
      </c>
      <c r="T167" s="54" t="s">
        <v>1647</v>
      </c>
      <c r="U167" s="35">
        <f>(0.95+1.22)/2</f>
        <v>1.085</v>
      </c>
      <c r="V167" s="35">
        <v>16.3</v>
      </c>
      <c r="W167" s="35">
        <v>20.6</v>
      </c>
      <c r="X167" s="35" t="s">
        <v>268</v>
      </c>
      <c r="AB167" s="35" t="s">
        <v>1554</v>
      </c>
      <c r="AC167" s="35" t="s">
        <v>1857</v>
      </c>
      <c r="AD167" s="153" t="str">
        <f t="shared" si="13"/>
        <v>Alfalfa/bromegrass</v>
      </c>
      <c r="AE167" s="35" t="s">
        <v>1637</v>
      </c>
      <c r="AG167" s="35" t="s">
        <v>339</v>
      </c>
      <c r="AH167" s="35" t="s">
        <v>349</v>
      </c>
      <c r="AI167" s="35" t="s">
        <v>618</v>
      </c>
      <c r="AM167" s="35" t="s">
        <v>209</v>
      </c>
      <c r="AN167" s="26" t="s">
        <v>209</v>
      </c>
      <c r="AO167" s="35" t="s">
        <v>230</v>
      </c>
      <c r="AP167" s="35" t="s">
        <v>154</v>
      </c>
      <c r="AQ167" s="35">
        <v>6</v>
      </c>
      <c r="AR167" s="35">
        <v>6</v>
      </c>
      <c r="AS167" s="35" t="s">
        <v>177</v>
      </c>
      <c r="AT167" s="35">
        <f t="shared" si="26"/>
        <v>117000</v>
      </c>
      <c r="AV167" s="35">
        <f t="shared" si="27"/>
        <v>33.333333333333336</v>
      </c>
      <c r="AW167" s="63"/>
      <c r="BH167" s="35">
        <f>36.3*0.00061*100</f>
        <v>2.2142999999999997</v>
      </c>
      <c r="BI167" s="35">
        <f>42.2*0.00061*100</f>
        <v>2.5742000000000003</v>
      </c>
      <c r="BK167" s="35">
        <f>BH167/12.5*10000</f>
        <v>1771.4399999999996</v>
      </c>
      <c r="BL167" s="35">
        <f>BI167/11.5*10000</f>
        <v>2238.434782608696</v>
      </c>
      <c r="BM167" s="35" t="s">
        <v>969</v>
      </c>
      <c r="DS167" s="12"/>
      <c r="DU167" s="15"/>
      <c r="EH167" s="35">
        <f>184*0.61/24</f>
        <v>4.6766666666666667</v>
      </c>
      <c r="EI167" s="35">
        <f>206*0.61/24</f>
        <v>5.2358333333333329</v>
      </c>
      <c r="EQ167" s="35">
        <f>905*1000000/1627500</f>
        <v>556.06758832565288</v>
      </c>
      <c r="ER167" s="35">
        <f>1036*1000000/1627500</f>
        <v>636.55913978494618</v>
      </c>
      <c r="ET167" s="35">
        <v>48.540706605222731</v>
      </c>
      <c r="EU167" s="35">
        <f>136*1000000/1627500</f>
        <v>83.563748079877115</v>
      </c>
      <c r="FA167" s="35" t="s">
        <v>351</v>
      </c>
      <c r="FC167" s="35">
        <v>13</v>
      </c>
    </row>
    <row r="168" spans="1:159" s="35" customFormat="1" x14ac:dyDescent="0.25">
      <c r="A168" s="35">
        <v>13</v>
      </c>
      <c r="B168" s="35" t="s">
        <v>324</v>
      </c>
      <c r="C168" s="35" t="s">
        <v>334</v>
      </c>
      <c r="D168" s="35">
        <v>1991</v>
      </c>
      <c r="E168" s="35">
        <v>1987</v>
      </c>
      <c r="F168" s="36" t="s">
        <v>335</v>
      </c>
      <c r="G168" s="35" t="s">
        <v>336</v>
      </c>
      <c r="H168" s="35">
        <v>50.53</v>
      </c>
      <c r="I168" s="35">
        <f t="shared" si="14"/>
        <v>-103.67</v>
      </c>
      <c r="J168" s="35">
        <v>579.1</v>
      </c>
      <c r="P168" s="54" t="s">
        <v>179</v>
      </c>
      <c r="Q168" s="54"/>
      <c r="R168" s="54"/>
      <c r="S168" s="54" t="s">
        <v>1647</v>
      </c>
      <c r="T168" s="54" t="s">
        <v>1647</v>
      </c>
      <c r="U168" s="35">
        <f t="shared" si="15"/>
        <v>1.085</v>
      </c>
      <c r="V168" s="35">
        <v>16.3</v>
      </c>
      <c r="W168" s="35">
        <v>20.6</v>
      </c>
      <c r="X168" s="35" t="s">
        <v>268</v>
      </c>
      <c r="AB168" s="35" t="s">
        <v>1554</v>
      </c>
      <c r="AC168" s="35" t="s">
        <v>1857</v>
      </c>
      <c r="AD168" s="153" t="str">
        <f t="shared" si="13"/>
        <v>Alfalfa/bromegrass</v>
      </c>
      <c r="AE168" s="35" t="s">
        <v>1637</v>
      </c>
      <c r="AG168" s="35" t="s">
        <v>339</v>
      </c>
      <c r="AH168" s="35" t="s">
        <v>349</v>
      </c>
      <c r="AI168" s="35" t="s">
        <v>618</v>
      </c>
      <c r="AM168" s="35" t="s">
        <v>338</v>
      </c>
      <c r="AN168" s="26" t="s">
        <v>209</v>
      </c>
      <c r="AO168" s="35" t="s">
        <v>618</v>
      </c>
      <c r="AP168" s="35" t="s">
        <v>154</v>
      </c>
      <c r="AQ168" s="35">
        <v>6</v>
      </c>
      <c r="AR168" s="35">
        <v>6</v>
      </c>
      <c r="AS168" s="35" t="s">
        <v>177</v>
      </c>
      <c r="AT168" s="35">
        <f t="shared" si="26"/>
        <v>117000</v>
      </c>
      <c r="AV168" s="35">
        <f t="shared" si="27"/>
        <v>33.333333333333336</v>
      </c>
      <c r="AW168" s="63"/>
      <c r="BH168" s="35">
        <f>37.9*0.00061*100</f>
        <v>2.3118999999999996</v>
      </c>
      <c r="BI168" s="35">
        <f t="shared" ref="BI168:BI171" si="32">42.2*0.00061*100</f>
        <v>2.5742000000000003</v>
      </c>
      <c r="BK168" s="35">
        <f>BH168/12.6*10000</f>
        <v>1834.8412698412696</v>
      </c>
      <c r="BL168" s="35">
        <f>BI168/11.5*10000</f>
        <v>2238.434782608696</v>
      </c>
      <c r="BM168" s="35" t="s">
        <v>969</v>
      </c>
      <c r="DS168" s="12"/>
      <c r="DU168" s="15"/>
      <c r="EH168" s="35">
        <f>178*0.61/24</f>
        <v>4.5241666666666669</v>
      </c>
      <c r="EI168" s="35">
        <f t="shared" ref="EI168:EI171" si="33">206*0.61/24</f>
        <v>5.2358333333333329</v>
      </c>
      <c r="EQ168" s="35">
        <f>815*1000000/1627500</f>
        <v>500.76804915514595</v>
      </c>
      <c r="ER168" s="35">
        <f t="shared" ref="ER168:ER171" si="34">1036*1000000/1627500</f>
        <v>636.55913978494618</v>
      </c>
      <c r="ET168" s="35">
        <v>46.082949308755758</v>
      </c>
      <c r="EU168" s="35">
        <f t="shared" ref="EU168:EU171" si="35">136*1000000/1627500</f>
        <v>83.563748079877115</v>
      </c>
      <c r="FA168" s="35" t="s">
        <v>351</v>
      </c>
      <c r="FC168" s="35">
        <v>13</v>
      </c>
    </row>
    <row r="169" spans="1:159" s="35" customFormat="1" x14ac:dyDescent="0.25">
      <c r="A169" s="35">
        <v>13</v>
      </c>
      <c r="B169" s="35" t="s">
        <v>324</v>
      </c>
      <c r="C169" s="35" t="s">
        <v>334</v>
      </c>
      <c r="D169" s="35">
        <v>1991</v>
      </c>
      <c r="E169" s="35">
        <v>1987</v>
      </c>
      <c r="F169" s="36" t="s">
        <v>335</v>
      </c>
      <c r="G169" s="35" t="s">
        <v>336</v>
      </c>
      <c r="H169" s="35">
        <v>50.53</v>
      </c>
      <c r="I169" s="35">
        <f t="shared" si="14"/>
        <v>-103.67</v>
      </c>
      <c r="J169" s="35">
        <v>579.1</v>
      </c>
      <c r="P169" s="54" t="s">
        <v>179</v>
      </c>
      <c r="Q169" s="54"/>
      <c r="R169" s="54"/>
      <c r="S169" s="54" t="s">
        <v>1647</v>
      </c>
      <c r="T169" s="54" t="s">
        <v>1647</v>
      </c>
      <c r="U169" s="35">
        <f t="shared" si="15"/>
        <v>1.085</v>
      </c>
      <c r="V169" s="35">
        <v>16.3</v>
      </c>
      <c r="W169" s="35">
        <v>20.6</v>
      </c>
      <c r="X169" s="35" t="s">
        <v>268</v>
      </c>
      <c r="AB169" s="35" t="s">
        <v>1554</v>
      </c>
      <c r="AC169" s="35" t="s">
        <v>1857</v>
      </c>
      <c r="AD169" s="153" t="str">
        <f t="shared" si="13"/>
        <v>Alfalfa/bromegrass</v>
      </c>
      <c r="AE169" s="35" t="s">
        <v>1637</v>
      </c>
      <c r="AG169" s="35" t="s">
        <v>1641</v>
      </c>
      <c r="AH169" s="35" t="s">
        <v>349</v>
      </c>
      <c r="AI169" s="35" t="s">
        <v>618</v>
      </c>
      <c r="AM169" s="35" t="s">
        <v>209</v>
      </c>
      <c r="AN169" s="26" t="s">
        <v>209</v>
      </c>
      <c r="AO169" s="35" t="s">
        <v>618</v>
      </c>
      <c r="AP169" s="35" t="s">
        <v>154</v>
      </c>
      <c r="AQ169" s="35">
        <v>6</v>
      </c>
      <c r="AR169" s="35">
        <v>6</v>
      </c>
      <c r="AS169" s="35" t="s">
        <v>177</v>
      </c>
      <c r="AT169" s="35">
        <f t="shared" si="26"/>
        <v>117000</v>
      </c>
      <c r="AV169" s="35">
        <f t="shared" si="27"/>
        <v>33.333333333333336</v>
      </c>
      <c r="AW169" s="63"/>
      <c r="BH169" s="35">
        <f>36.4*0.00061*100</f>
        <v>2.2203999999999997</v>
      </c>
      <c r="BI169" s="35">
        <f t="shared" si="32"/>
        <v>2.5742000000000003</v>
      </c>
      <c r="BK169" s="35">
        <f>BH169/12.5*10000</f>
        <v>1776.32</v>
      </c>
      <c r="BL169" s="35">
        <f>BI169/11.5*10000</f>
        <v>2238.434782608696</v>
      </c>
      <c r="BM169" s="35" t="s">
        <v>969</v>
      </c>
      <c r="DS169" s="12"/>
      <c r="DU169" s="15"/>
      <c r="EH169" s="35">
        <f>200*0.61/24</f>
        <v>5.083333333333333</v>
      </c>
      <c r="EI169" s="35">
        <f t="shared" si="33"/>
        <v>5.2358333333333329</v>
      </c>
      <c r="EQ169" s="35">
        <f>804*1000000/1627500</f>
        <v>494.00921658986175</v>
      </c>
      <c r="ER169" s="35">
        <f t="shared" si="34"/>
        <v>636.55913978494618</v>
      </c>
      <c r="ET169" s="35">
        <v>54.685099846390166</v>
      </c>
      <c r="EU169" s="35">
        <f t="shared" si="35"/>
        <v>83.563748079877115</v>
      </c>
      <c r="FA169" s="35" t="s">
        <v>351</v>
      </c>
      <c r="FC169" s="35">
        <v>13</v>
      </c>
    </row>
    <row r="170" spans="1:159" s="35" customFormat="1" x14ac:dyDescent="0.25">
      <c r="A170" s="35">
        <v>13</v>
      </c>
      <c r="B170" s="35" t="s">
        <v>324</v>
      </c>
      <c r="C170" s="35" t="s">
        <v>334</v>
      </c>
      <c r="D170" s="35">
        <v>1991</v>
      </c>
      <c r="E170" s="35">
        <v>1987</v>
      </c>
      <c r="F170" s="36" t="s">
        <v>335</v>
      </c>
      <c r="G170" s="35" t="s">
        <v>336</v>
      </c>
      <c r="H170" s="35">
        <v>50.53</v>
      </c>
      <c r="I170" s="35">
        <f t="shared" si="14"/>
        <v>-103.67</v>
      </c>
      <c r="J170" s="35">
        <v>579.1</v>
      </c>
      <c r="P170" s="54" t="s">
        <v>179</v>
      </c>
      <c r="Q170" s="54"/>
      <c r="R170" s="54"/>
      <c r="S170" s="54" t="s">
        <v>1647</v>
      </c>
      <c r="T170" s="54" t="s">
        <v>1647</v>
      </c>
      <c r="U170" s="35">
        <f t="shared" si="15"/>
        <v>1.085</v>
      </c>
      <c r="V170" s="35">
        <v>16.3</v>
      </c>
      <c r="W170" s="35">
        <v>20.6</v>
      </c>
      <c r="X170" s="35" t="s">
        <v>268</v>
      </c>
      <c r="AB170" s="35" t="s">
        <v>1554</v>
      </c>
      <c r="AC170" s="35" t="s">
        <v>1857</v>
      </c>
      <c r="AD170" s="153" t="str">
        <f t="shared" si="13"/>
        <v>Alfalfa/bromegrass</v>
      </c>
      <c r="AE170" s="35" t="s">
        <v>1637</v>
      </c>
      <c r="AG170" s="35" t="s">
        <v>1641</v>
      </c>
      <c r="AH170" s="35" t="s">
        <v>349</v>
      </c>
      <c r="AI170" s="35" t="s">
        <v>618</v>
      </c>
      <c r="AM170" s="35" t="s">
        <v>338</v>
      </c>
      <c r="AN170" s="26" t="s">
        <v>209</v>
      </c>
      <c r="AO170" s="35" t="s">
        <v>618</v>
      </c>
      <c r="AP170" s="35" t="s">
        <v>154</v>
      </c>
      <c r="AQ170" s="35">
        <v>6</v>
      </c>
      <c r="AR170" s="35">
        <v>6</v>
      </c>
      <c r="AS170" s="35" t="s">
        <v>177</v>
      </c>
      <c r="AT170" s="35">
        <f t="shared" si="26"/>
        <v>117000</v>
      </c>
      <c r="AV170" s="35">
        <f t="shared" si="27"/>
        <v>33.333333333333336</v>
      </c>
      <c r="AW170" s="63"/>
      <c r="BH170" s="35">
        <f>38.5*0.00061*100</f>
        <v>2.3485</v>
      </c>
      <c r="BI170" s="35">
        <f t="shared" si="32"/>
        <v>2.5742000000000003</v>
      </c>
      <c r="BK170" s="35">
        <f>BH170/11.9*10000</f>
        <v>1973.5294117647059</v>
      </c>
      <c r="BL170" s="35">
        <f>BI170/11.5*10000</f>
        <v>2238.434782608696</v>
      </c>
      <c r="BM170" s="35" t="s">
        <v>969</v>
      </c>
      <c r="DS170" s="12"/>
      <c r="DU170" s="15"/>
      <c r="EH170" s="35">
        <f>193*0.61/24</f>
        <v>4.9054166666666665</v>
      </c>
      <c r="EI170" s="35">
        <f t="shared" si="33"/>
        <v>5.2358333333333329</v>
      </c>
      <c r="EQ170" s="35">
        <f>891*1000000/1627500</f>
        <v>547.46543778801845</v>
      </c>
      <c r="ER170" s="35">
        <f t="shared" si="34"/>
        <v>636.55913978494618</v>
      </c>
      <c r="ET170" s="35">
        <v>54.070660522273428</v>
      </c>
      <c r="EU170" s="35">
        <f t="shared" si="35"/>
        <v>83.563748079877115</v>
      </c>
      <c r="FA170" s="35" t="s">
        <v>351</v>
      </c>
      <c r="FC170" s="35">
        <v>13</v>
      </c>
    </row>
    <row r="171" spans="1:159" s="35" customFormat="1" x14ac:dyDescent="0.25">
      <c r="A171" s="35">
        <v>13</v>
      </c>
      <c r="B171" s="35" t="s">
        <v>324</v>
      </c>
      <c r="C171" s="35" t="s">
        <v>334</v>
      </c>
      <c r="D171" s="35">
        <v>1991</v>
      </c>
      <c r="E171" s="35">
        <v>1987</v>
      </c>
      <c r="F171" s="36" t="s">
        <v>335</v>
      </c>
      <c r="G171" s="35" t="s">
        <v>336</v>
      </c>
      <c r="H171" s="35">
        <v>50.53</v>
      </c>
      <c r="I171" s="35">
        <f t="shared" si="14"/>
        <v>-103.67</v>
      </c>
      <c r="J171" s="35">
        <v>579.1</v>
      </c>
      <c r="P171" s="54" t="s">
        <v>179</v>
      </c>
      <c r="Q171" s="54"/>
      <c r="R171" s="54"/>
      <c r="S171" s="54" t="s">
        <v>1647</v>
      </c>
      <c r="T171" s="54" t="s">
        <v>1647</v>
      </c>
      <c r="U171" s="35">
        <f t="shared" si="15"/>
        <v>1.085</v>
      </c>
      <c r="V171" s="35">
        <v>16.3</v>
      </c>
      <c r="W171" s="35">
        <v>20.6</v>
      </c>
      <c r="X171" s="35" t="s">
        <v>268</v>
      </c>
      <c r="AB171" s="35" t="s">
        <v>1554</v>
      </c>
      <c r="AC171" s="35" t="s">
        <v>1857</v>
      </c>
      <c r="AD171" s="153" t="str">
        <f t="shared" si="13"/>
        <v>Alfalfa/bromegrass</v>
      </c>
      <c r="AE171" s="35" t="s">
        <v>1637</v>
      </c>
      <c r="AG171" s="35" t="s">
        <v>1641</v>
      </c>
      <c r="AH171" s="35" t="s">
        <v>349</v>
      </c>
      <c r="AI171" s="35" t="s">
        <v>618</v>
      </c>
      <c r="AM171" s="35" t="s">
        <v>340</v>
      </c>
      <c r="AN171" s="26" t="s">
        <v>209</v>
      </c>
      <c r="AO171" s="35" t="s">
        <v>618</v>
      </c>
      <c r="AP171" s="35" t="s">
        <v>154</v>
      </c>
      <c r="AQ171" s="35">
        <v>6</v>
      </c>
      <c r="AR171" s="35">
        <v>6</v>
      </c>
      <c r="AS171" s="35" t="s">
        <v>177</v>
      </c>
      <c r="AT171" s="35">
        <f t="shared" si="26"/>
        <v>117000</v>
      </c>
      <c r="AV171" s="35">
        <f t="shared" si="27"/>
        <v>33.333333333333336</v>
      </c>
      <c r="AW171" s="63"/>
      <c r="BH171" s="35">
        <f>38.2*0.00061*100</f>
        <v>2.3302</v>
      </c>
      <c r="BI171" s="35">
        <f t="shared" si="32"/>
        <v>2.5742000000000003</v>
      </c>
      <c r="BK171" s="35">
        <f>BH171/12.7*10000</f>
        <v>1834.8031496062995</v>
      </c>
      <c r="BL171" s="35">
        <f>BI171/11.5*10000</f>
        <v>2238.434782608696</v>
      </c>
      <c r="BM171" s="35" t="s">
        <v>969</v>
      </c>
      <c r="DS171" s="12"/>
      <c r="DU171" s="15"/>
      <c r="EH171" s="35">
        <f>168*0.61/24</f>
        <v>4.2700000000000005</v>
      </c>
      <c r="EI171" s="35">
        <f t="shared" si="33"/>
        <v>5.2358333333333329</v>
      </c>
      <c r="EQ171" s="35">
        <f>833*1000000/1627500</f>
        <v>511.8279569892473</v>
      </c>
      <c r="ER171" s="35">
        <f t="shared" si="34"/>
        <v>636.55913978494618</v>
      </c>
      <c r="ET171" s="35">
        <v>49.155145929339476</v>
      </c>
      <c r="EU171" s="35">
        <f t="shared" si="35"/>
        <v>83.563748079877115</v>
      </c>
      <c r="FA171" s="35" t="s">
        <v>351</v>
      </c>
      <c r="FC171" s="35">
        <v>13</v>
      </c>
    </row>
    <row r="172" spans="1:159" s="23" customFormat="1" x14ac:dyDescent="0.25">
      <c r="A172" s="23">
        <v>14</v>
      </c>
      <c r="B172" s="23" t="s">
        <v>354</v>
      </c>
      <c r="C172" s="23" t="s">
        <v>355</v>
      </c>
      <c r="D172" s="23">
        <v>2011</v>
      </c>
      <c r="E172" s="23">
        <v>2008</v>
      </c>
      <c r="F172" s="23" t="s">
        <v>357</v>
      </c>
      <c r="G172" s="23" t="s">
        <v>356</v>
      </c>
      <c r="H172" s="23">
        <v>46.88</v>
      </c>
      <c r="I172" s="23">
        <v>-102.79</v>
      </c>
      <c r="J172" s="23">
        <v>735.8</v>
      </c>
      <c r="P172" s="53" t="s">
        <v>179</v>
      </c>
      <c r="Q172" s="53"/>
      <c r="R172" s="53"/>
      <c r="S172" s="53" t="s">
        <v>1640</v>
      </c>
      <c r="T172" s="53" t="s">
        <v>1640</v>
      </c>
      <c r="X172" s="23" t="s">
        <v>175</v>
      </c>
      <c r="AC172" s="23" t="s">
        <v>301</v>
      </c>
      <c r="AD172" s="153" t="str">
        <f t="shared" si="13"/>
        <v>Vetch</v>
      </c>
      <c r="AE172" s="23" t="s">
        <v>287</v>
      </c>
      <c r="AJ172" s="23" t="s">
        <v>275</v>
      </c>
      <c r="AK172" s="23" t="s">
        <v>275</v>
      </c>
      <c r="AL172" s="23" t="s">
        <v>230</v>
      </c>
      <c r="AP172" s="23" t="s">
        <v>154</v>
      </c>
      <c r="AT172" s="23">
        <v>1728</v>
      </c>
      <c r="AW172" s="64" t="s">
        <v>358</v>
      </c>
      <c r="DM172" s="23">
        <v>309</v>
      </c>
      <c r="DN172" s="23">
        <v>584</v>
      </c>
      <c r="DS172" s="12"/>
      <c r="DU172" s="15"/>
      <c r="FA172" s="23" t="s">
        <v>850</v>
      </c>
      <c r="FC172" s="23">
        <v>14</v>
      </c>
    </row>
    <row r="173" spans="1:159" s="23" customFormat="1" x14ac:dyDescent="0.25">
      <c r="A173" s="23">
        <v>14</v>
      </c>
      <c r="B173" s="23" t="s">
        <v>354</v>
      </c>
      <c r="C173" s="23" t="s">
        <v>355</v>
      </c>
      <c r="D173" s="23">
        <v>2011</v>
      </c>
      <c r="E173" s="23">
        <v>2008</v>
      </c>
      <c r="F173" s="23" t="s">
        <v>357</v>
      </c>
      <c r="G173" s="23" t="s">
        <v>356</v>
      </c>
      <c r="H173" s="23">
        <v>46.88</v>
      </c>
      <c r="I173" s="23">
        <v>-102.79</v>
      </c>
      <c r="J173" s="23">
        <v>735.8</v>
      </c>
      <c r="P173" s="53" t="s">
        <v>179</v>
      </c>
      <c r="Q173" s="53"/>
      <c r="R173" s="53"/>
      <c r="S173" s="53" t="s">
        <v>1640</v>
      </c>
      <c r="T173" s="53" t="s">
        <v>1640</v>
      </c>
      <c r="X173" s="23" t="s">
        <v>175</v>
      </c>
      <c r="AC173" s="23" t="s">
        <v>301</v>
      </c>
      <c r="AD173" s="153" t="str">
        <f t="shared" si="13"/>
        <v>Vetch</v>
      </c>
      <c r="AE173" s="23" t="s">
        <v>287</v>
      </c>
      <c r="AJ173" s="23" t="s">
        <v>275</v>
      </c>
      <c r="AK173" s="23" t="s">
        <v>275</v>
      </c>
      <c r="AL173" s="23" t="s">
        <v>230</v>
      </c>
      <c r="AP173" s="23" t="s">
        <v>154</v>
      </c>
      <c r="AT173" s="23">
        <v>1728</v>
      </c>
      <c r="AW173" s="64" t="s">
        <v>359</v>
      </c>
      <c r="DM173" s="23">
        <v>196</v>
      </c>
      <c r="DN173" s="23">
        <v>584</v>
      </c>
      <c r="DS173" s="12"/>
      <c r="DU173" s="15"/>
      <c r="FA173" s="23" t="s">
        <v>850</v>
      </c>
      <c r="FC173" s="23">
        <v>14</v>
      </c>
    </row>
    <row r="174" spans="1:159" s="23" customFormat="1" x14ac:dyDescent="0.25">
      <c r="A174" s="23">
        <v>14</v>
      </c>
      <c r="B174" s="23" t="s">
        <v>354</v>
      </c>
      <c r="C174" s="23" t="s">
        <v>355</v>
      </c>
      <c r="D174" s="23">
        <v>2011</v>
      </c>
      <c r="E174" s="23">
        <v>2008</v>
      </c>
      <c r="F174" s="23" t="s">
        <v>357</v>
      </c>
      <c r="G174" s="23" t="s">
        <v>356</v>
      </c>
      <c r="H174" s="23">
        <v>46.88</v>
      </c>
      <c r="I174" s="23">
        <v>-102.79</v>
      </c>
      <c r="J174" s="23">
        <v>735.8</v>
      </c>
      <c r="P174" s="53" t="s">
        <v>179</v>
      </c>
      <c r="Q174" s="53"/>
      <c r="R174" s="53"/>
      <c r="S174" s="53" t="s">
        <v>1640</v>
      </c>
      <c r="T174" s="53" t="s">
        <v>1640</v>
      </c>
      <c r="X174" s="23" t="s">
        <v>175</v>
      </c>
      <c r="AC174" s="23" t="s">
        <v>301</v>
      </c>
      <c r="AD174" s="153" t="str">
        <f t="shared" si="13"/>
        <v>Vetch</v>
      </c>
      <c r="AE174" s="23" t="s">
        <v>287</v>
      </c>
      <c r="AJ174" s="23" t="s">
        <v>275</v>
      </c>
      <c r="AK174" s="23" t="s">
        <v>275</v>
      </c>
      <c r="AL174" s="23" t="s">
        <v>230</v>
      </c>
      <c r="AP174" s="23" t="s">
        <v>154</v>
      </c>
      <c r="AT174" s="23">
        <v>1728</v>
      </c>
      <c r="AW174" s="64" t="s">
        <v>360</v>
      </c>
      <c r="DM174" s="23">
        <v>569</v>
      </c>
      <c r="DN174" s="23">
        <v>584</v>
      </c>
      <c r="DS174" s="12"/>
      <c r="DU174" s="15"/>
      <c r="FA174" s="23" t="s">
        <v>850</v>
      </c>
      <c r="FC174" s="23">
        <v>14</v>
      </c>
    </row>
    <row r="175" spans="1:159" s="38" customFormat="1" x14ac:dyDescent="0.25">
      <c r="A175" s="38">
        <v>14</v>
      </c>
      <c r="B175" s="38" t="s">
        <v>354</v>
      </c>
      <c r="C175" s="38" t="s">
        <v>355</v>
      </c>
      <c r="D175" s="38">
        <v>2011</v>
      </c>
      <c r="E175" s="38">
        <v>2008</v>
      </c>
      <c r="F175" s="38" t="s">
        <v>357</v>
      </c>
      <c r="G175" s="38" t="s">
        <v>356</v>
      </c>
      <c r="H175" s="38">
        <v>46.88</v>
      </c>
      <c r="I175" s="38">
        <v>-102.79</v>
      </c>
      <c r="J175" s="38">
        <v>735.8</v>
      </c>
      <c r="P175" s="57" t="s">
        <v>179</v>
      </c>
      <c r="Q175" s="57"/>
      <c r="R175" s="57"/>
      <c r="S175" s="57" t="s">
        <v>1640</v>
      </c>
      <c r="T175" s="57" t="s">
        <v>1640</v>
      </c>
      <c r="X175" s="38" t="s">
        <v>175</v>
      </c>
      <c r="AC175" s="38" t="s">
        <v>1847</v>
      </c>
      <c r="AD175" s="153" t="str">
        <f t="shared" si="13"/>
        <v>Rye_Winter</v>
      </c>
      <c r="AE175" s="38" t="s">
        <v>287</v>
      </c>
      <c r="AJ175" s="38" t="s">
        <v>275</v>
      </c>
      <c r="AK175" s="38" t="s">
        <v>275</v>
      </c>
      <c r="AL175" s="38" t="s">
        <v>230</v>
      </c>
      <c r="AP175" s="38" t="s">
        <v>154</v>
      </c>
      <c r="AT175" s="38">
        <v>3615</v>
      </c>
      <c r="AW175" s="64" t="s">
        <v>358</v>
      </c>
      <c r="DM175" s="23">
        <v>309</v>
      </c>
      <c r="DN175" s="38">
        <v>153</v>
      </c>
      <c r="DS175" s="12"/>
      <c r="DU175" s="15"/>
      <c r="FA175" s="38" t="s">
        <v>850</v>
      </c>
      <c r="FC175" s="38">
        <v>14</v>
      </c>
    </row>
    <row r="176" spans="1:159" s="38" customFormat="1" x14ac:dyDescent="0.25">
      <c r="A176" s="38">
        <v>14</v>
      </c>
      <c r="B176" s="38" t="s">
        <v>354</v>
      </c>
      <c r="C176" s="38" t="s">
        <v>355</v>
      </c>
      <c r="D176" s="38">
        <v>2011</v>
      </c>
      <c r="E176" s="38">
        <v>2008</v>
      </c>
      <c r="F176" s="38" t="s">
        <v>357</v>
      </c>
      <c r="G176" s="38" t="s">
        <v>356</v>
      </c>
      <c r="H176" s="38">
        <v>46.88</v>
      </c>
      <c r="I176" s="38">
        <v>-102.79</v>
      </c>
      <c r="J176" s="38">
        <v>735.8</v>
      </c>
      <c r="P176" s="57" t="s">
        <v>179</v>
      </c>
      <c r="Q176" s="57"/>
      <c r="R176" s="57"/>
      <c r="S176" s="57" t="s">
        <v>1640</v>
      </c>
      <c r="T176" s="57" t="s">
        <v>1640</v>
      </c>
      <c r="X176" s="38" t="s">
        <v>175</v>
      </c>
      <c r="AC176" s="38" t="s">
        <v>1847</v>
      </c>
      <c r="AD176" s="153" t="str">
        <f t="shared" si="13"/>
        <v>Rye_Winter</v>
      </c>
      <c r="AE176" s="38" t="s">
        <v>287</v>
      </c>
      <c r="AJ176" s="38" t="s">
        <v>275</v>
      </c>
      <c r="AK176" s="38" t="s">
        <v>275</v>
      </c>
      <c r="AL176" s="38" t="s">
        <v>230</v>
      </c>
      <c r="AP176" s="38" t="s">
        <v>154</v>
      </c>
      <c r="AT176" s="38">
        <v>3615</v>
      </c>
      <c r="AW176" s="64" t="s">
        <v>359</v>
      </c>
      <c r="DM176" s="23">
        <v>196</v>
      </c>
      <c r="DN176" s="38">
        <v>153</v>
      </c>
      <c r="DS176" s="12"/>
      <c r="DU176" s="15"/>
      <c r="FA176" s="38" t="s">
        <v>850</v>
      </c>
      <c r="FC176" s="38">
        <v>14</v>
      </c>
    </row>
    <row r="177" spans="1:159" s="38" customFormat="1" x14ac:dyDescent="0.25">
      <c r="A177" s="38">
        <v>14</v>
      </c>
      <c r="B177" s="38" t="s">
        <v>354</v>
      </c>
      <c r="C177" s="38" t="s">
        <v>355</v>
      </c>
      <c r="D177" s="38">
        <v>2011</v>
      </c>
      <c r="E177" s="38">
        <v>2008</v>
      </c>
      <c r="F177" s="38" t="s">
        <v>357</v>
      </c>
      <c r="G177" s="38" t="s">
        <v>356</v>
      </c>
      <c r="H177" s="38">
        <v>46.88</v>
      </c>
      <c r="I177" s="38">
        <v>-102.79</v>
      </c>
      <c r="J177" s="38">
        <v>735.8</v>
      </c>
      <c r="P177" s="57" t="s">
        <v>179</v>
      </c>
      <c r="Q177" s="57"/>
      <c r="R177" s="57"/>
      <c r="S177" s="57" t="s">
        <v>1640</v>
      </c>
      <c r="T177" s="57" t="s">
        <v>1640</v>
      </c>
      <c r="X177" s="38" t="s">
        <v>175</v>
      </c>
      <c r="AC177" s="38" t="s">
        <v>1847</v>
      </c>
      <c r="AD177" s="153" t="str">
        <f t="shared" si="13"/>
        <v>Rye_Winter</v>
      </c>
      <c r="AE177" s="38" t="s">
        <v>287</v>
      </c>
      <c r="AJ177" s="38" t="s">
        <v>275</v>
      </c>
      <c r="AK177" s="38" t="s">
        <v>275</v>
      </c>
      <c r="AL177" s="38" t="s">
        <v>230</v>
      </c>
      <c r="AP177" s="38" t="s">
        <v>154</v>
      </c>
      <c r="AT177" s="38">
        <v>3615</v>
      </c>
      <c r="AW177" s="64" t="s">
        <v>360</v>
      </c>
      <c r="DM177" s="23">
        <v>569</v>
      </c>
      <c r="DN177" s="38">
        <v>153</v>
      </c>
      <c r="DS177" s="12"/>
      <c r="DU177" s="15"/>
      <c r="FA177" s="38" t="s">
        <v>850</v>
      </c>
      <c r="FC177" s="38">
        <v>14</v>
      </c>
    </row>
    <row r="178" spans="1:159" s="23" customFormat="1" x14ac:dyDescent="0.25">
      <c r="A178" s="23">
        <v>14</v>
      </c>
      <c r="B178" s="23" t="s">
        <v>354</v>
      </c>
      <c r="C178" s="23" t="s">
        <v>355</v>
      </c>
      <c r="D178" s="23">
        <v>2011</v>
      </c>
      <c r="E178" s="23">
        <v>2008</v>
      </c>
      <c r="F178" s="23" t="s">
        <v>357</v>
      </c>
      <c r="G178" s="23" t="s">
        <v>356</v>
      </c>
      <c r="H178" s="23">
        <v>46.88</v>
      </c>
      <c r="I178" s="23">
        <v>-102.79</v>
      </c>
      <c r="J178" s="23">
        <v>735.8</v>
      </c>
      <c r="P178" s="53" t="s">
        <v>179</v>
      </c>
      <c r="Q178" s="53"/>
      <c r="R178" s="53"/>
      <c r="S178" s="53" t="s">
        <v>1640</v>
      </c>
      <c r="T178" s="53" t="s">
        <v>1640</v>
      </c>
      <c r="X178" s="23" t="s">
        <v>175</v>
      </c>
      <c r="AC178" s="23" t="s">
        <v>1811</v>
      </c>
      <c r="AD178" s="153" t="str">
        <f t="shared" si="13"/>
        <v>Winter_wheat</v>
      </c>
      <c r="AE178" s="23" t="s">
        <v>287</v>
      </c>
      <c r="AJ178" s="23" t="s">
        <v>275</v>
      </c>
      <c r="AK178" s="23" t="s">
        <v>275</v>
      </c>
      <c r="AL178" s="23" t="s">
        <v>230</v>
      </c>
      <c r="AP178" s="23" t="s">
        <v>154</v>
      </c>
      <c r="AT178" s="23">
        <v>4113</v>
      </c>
      <c r="AW178" s="64" t="s">
        <v>358</v>
      </c>
      <c r="DM178" s="23">
        <v>309</v>
      </c>
      <c r="DN178" s="23">
        <v>274</v>
      </c>
      <c r="DS178" s="12"/>
      <c r="DU178" s="15"/>
      <c r="FA178" s="23" t="s">
        <v>850</v>
      </c>
      <c r="FC178" s="23">
        <v>14</v>
      </c>
    </row>
    <row r="179" spans="1:159" s="23" customFormat="1" x14ac:dyDescent="0.25">
      <c r="A179" s="23">
        <v>14</v>
      </c>
      <c r="B179" s="23" t="s">
        <v>354</v>
      </c>
      <c r="C179" s="23" t="s">
        <v>355</v>
      </c>
      <c r="D179" s="23">
        <v>2011</v>
      </c>
      <c r="E179" s="23">
        <v>2008</v>
      </c>
      <c r="F179" s="23" t="s">
        <v>357</v>
      </c>
      <c r="G179" s="23" t="s">
        <v>356</v>
      </c>
      <c r="H179" s="23">
        <v>46.88</v>
      </c>
      <c r="I179" s="23">
        <v>-102.79</v>
      </c>
      <c r="J179" s="23">
        <v>735.8</v>
      </c>
      <c r="P179" s="53" t="s">
        <v>179</v>
      </c>
      <c r="Q179" s="53"/>
      <c r="R179" s="53"/>
      <c r="S179" s="53" t="s">
        <v>1640</v>
      </c>
      <c r="T179" s="53" t="s">
        <v>1640</v>
      </c>
      <c r="X179" s="23" t="s">
        <v>175</v>
      </c>
      <c r="AC179" s="23" t="s">
        <v>1811</v>
      </c>
      <c r="AD179" s="153" t="str">
        <f t="shared" si="13"/>
        <v>Winter_wheat</v>
      </c>
      <c r="AE179" s="23" t="s">
        <v>287</v>
      </c>
      <c r="AJ179" s="23" t="s">
        <v>275</v>
      </c>
      <c r="AK179" s="23" t="s">
        <v>275</v>
      </c>
      <c r="AL179" s="23" t="s">
        <v>230</v>
      </c>
      <c r="AP179" s="23" t="s">
        <v>154</v>
      </c>
      <c r="AT179" s="23">
        <v>4113</v>
      </c>
      <c r="AW179" s="64" t="s">
        <v>359</v>
      </c>
      <c r="DM179" s="23">
        <v>196</v>
      </c>
      <c r="DN179" s="23">
        <v>274</v>
      </c>
      <c r="DS179" s="12"/>
      <c r="DU179" s="15"/>
      <c r="FA179" s="23" t="s">
        <v>850</v>
      </c>
      <c r="FC179" s="23">
        <v>14</v>
      </c>
    </row>
    <row r="180" spans="1:159" s="23" customFormat="1" x14ac:dyDescent="0.25">
      <c r="A180" s="23">
        <v>14</v>
      </c>
      <c r="B180" s="23" t="s">
        <v>354</v>
      </c>
      <c r="C180" s="23" t="s">
        <v>355</v>
      </c>
      <c r="D180" s="23">
        <v>2011</v>
      </c>
      <c r="E180" s="23">
        <v>2008</v>
      </c>
      <c r="F180" s="23" t="s">
        <v>357</v>
      </c>
      <c r="G180" s="23" t="s">
        <v>356</v>
      </c>
      <c r="H180" s="23">
        <v>46.88</v>
      </c>
      <c r="I180" s="23">
        <v>-102.79</v>
      </c>
      <c r="J180" s="23">
        <v>735.8</v>
      </c>
      <c r="P180" s="53" t="s">
        <v>179</v>
      </c>
      <c r="Q180" s="53"/>
      <c r="R180" s="53"/>
      <c r="S180" s="53" t="s">
        <v>1640</v>
      </c>
      <c r="T180" s="53" t="s">
        <v>1640</v>
      </c>
      <c r="X180" s="23" t="s">
        <v>175</v>
      </c>
      <c r="AC180" s="23" t="s">
        <v>1811</v>
      </c>
      <c r="AD180" s="153" t="str">
        <f t="shared" si="13"/>
        <v>Winter_wheat</v>
      </c>
      <c r="AE180" s="23" t="s">
        <v>287</v>
      </c>
      <c r="AJ180" s="23" t="s">
        <v>275</v>
      </c>
      <c r="AK180" s="23" t="s">
        <v>275</v>
      </c>
      <c r="AL180" s="23" t="s">
        <v>230</v>
      </c>
      <c r="AP180" s="23" t="s">
        <v>154</v>
      </c>
      <c r="AT180" s="23">
        <v>4113</v>
      </c>
      <c r="AW180" s="64" t="s">
        <v>360</v>
      </c>
      <c r="DM180" s="23">
        <v>569</v>
      </c>
      <c r="DN180" s="23">
        <v>274</v>
      </c>
      <c r="DS180" s="12"/>
      <c r="DU180" s="15"/>
      <c r="FA180" s="23" t="s">
        <v>850</v>
      </c>
      <c r="FC180" s="23">
        <v>14</v>
      </c>
    </row>
    <row r="181" spans="1:159" s="5" customFormat="1" x14ac:dyDescent="0.25">
      <c r="A181" s="38">
        <v>14</v>
      </c>
      <c r="B181" s="38" t="s">
        <v>354</v>
      </c>
      <c r="C181" s="38" t="s">
        <v>355</v>
      </c>
      <c r="D181" s="38">
        <v>2011</v>
      </c>
      <c r="E181" s="38">
        <v>2008</v>
      </c>
      <c r="F181" s="38" t="s">
        <v>357</v>
      </c>
      <c r="G181" s="38" t="s">
        <v>356</v>
      </c>
      <c r="H181" s="38">
        <v>46.88</v>
      </c>
      <c r="I181" s="38">
        <v>-102.79</v>
      </c>
      <c r="J181" s="38">
        <v>735.8</v>
      </c>
      <c r="K181" s="38"/>
      <c r="L181" s="38"/>
      <c r="M181" s="38"/>
      <c r="N181" s="38"/>
      <c r="O181" s="38"/>
      <c r="P181" s="57" t="s">
        <v>179</v>
      </c>
      <c r="Q181" s="57"/>
      <c r="R181" s="57"/>
      <c r="S181" s="57" t="s">
        <v>1640</v>
      </c>
      <c r="T181" s="57" t="s">
        <v>1640</v>
      </c>
      <c r="U181" s="38"/>
      <c r="V181" s="38"/>
      <c r="W181" s="38"/>
      <c r="X181" s="38" t="s">
        <v>175</v>
      </c>
      <c r="Y181" s="38"/>
      <c r="Z181" s="38"/>
      <c r="AA181" s="38"/>
      <c r="AB181" s="38"/>
      <c r="AC181" s="38" t="s">
        <v>1858</v>
      </c>
      <c r="AD181" s="153" t="str">
        <f t="shared" si="13"/>
        <v>Vetch/Rye</v>
      </c>
      <c r="AE181" s="38" t="s">
        <v>287</v>
      </c>
      <c r="AF181" s="38"/>
      <c r="AG181" s="38"/>
      <c r="AH181" s="38"/>
      <c r="AI181" s="38"/>
      <c r="AJ181" s="38" t="s">
        <v>275</v>
      </c>
      <c r="AK181" s="38" t="s">
        <v>275</v>
      </c>
      <c r="AL181" s="38" t="s">
        <v>230</v>
      </c>
      <c r="AM181" s="38"/>
      <c r="AN181" s="38"/>
      <c r="AO181" s="38"/>
      <c r="AP181" s="38" t="s">
        <v>154</v>
      </c>
      <c r="AT181" s="5">
        <v>3535</v>
      </c>
      <c r="AW181" s="64" t="s">
        <v>358</v>
      </c>
      <c r="DM181" s="23">
        <v>309</v>
      </c>
      <c r="DN181" s="5">
        <v>286</v>
      </c>
      <c r="DS181" s="12"/>
      <c r="DU181" s="15"/>
      <c r="EW181" s="38"/>
      <c r="EX181" s="38"/>
      <c r="EY181" s="38"/>
      <c r="EZ181" s="38"/>
      <c r="FA181" s="38" t="s">
        <v>850</v>
      </c>
      <c r="FC181" s="38">
        <v>14</v>
      </c>
    </row>
    <row r="182" spans="1:159" s="5" customFormat="1" x14ac:dyDescent="0.25">
      <c r="A182" s="38">
        <v>14</v>
      </c>
      <c r="B182" s="38" t="s">
        <v>354</v>
      </c>
      <c r="C182" s="38" t="s">
        <v>355</v>
      </c>
      <c r="D182" s="38">
        <v>2011</v>
      </c>
      <c r="E182" s="38">
        <v>2008</v>
      </c>
      <c r="F182" s="38" t="s">
        <v>357</v>
      </c>
      <c r="G182" s="38" t="s">
        <v>356</v>
      </c>
      <c r="H182" s="38">
        <v>46.88</v>
      </c>
      <c r="I182" s="38">
        <v>-102.79</v>
      </c>
      <c r="J182" s="38">
        <v>735.8</v>
      </c>
      <c r="K182" s="38"/>
      <c r="L182" s="38"/>
      <c r="M182" s="38"/>
      <c r="N182" s="38"/>
      <c r="O182" s="38"/>
      <c r="P182" s="57" t="s">
        <v>179</v>
      </c>
      <c r="Q182" s="57"/>
      <c r="R182" s="57"/>
      <c r="S182" s="57" t="s">
        <v>1640</v>
      </c>
      <c r="T182" s="57" t="s">
        <v>1640</v>
      </c>
      <c r="U182" s="38"/>
      <c r="V182" s="38"/>
      <c r="W182" s="38"/>
      <c r="X182" s="38" t="s">
        <v>175</v>
      </c>
      <c r="Y182" s="38"/>
      <c r="Z182" s="38"/>
      <c r="AA182" s="38"/>
      <c r="AB182" s="38"/>
      <c r="AC182" s="38" t="s">
        <v>1858</v>
      </c>
      <c r="AD182" s="153" t="str">
        <f t="shared" si="13"/>
        <v>Vetch/Rye</v>
      </c>
      <c r="AE182" s="38" t="s">
        <v>287</v>
      </c>
      <c r="AF182" s="38"/>
      <c r="AG182" s="38"/>
      <c r="AH182" s="38"/>
      <c r="AI182" s="38"/>
      <c r="AJ182" s="38" t="s">
        <v>275</v>
      </c>
      <c r="AK182" s="38" t="s">
        <v>275</v>
      </c>
      <c r="AL182" s="38" t="s">
        <v>230</v>
      </c>
      <c r="AM182" s="38"/>
      <c r="AN182" s="38"/>
      <c r="AO182" s="38"/>
      <c r="AP182" s="38" t="s">
        <v>154</v>
      </c>
      <c r="AT182" s="5">
        <v>3535</v>
      </c>
      <c r="AW182" s="64" t="s">
        <v>359</v>
      </c>
      <c r="DM182" s="23">
        <v>196</v>
      </c>
      <c r="DN182" s="5">
        <v>286</v>
      </c>
      <c r="DS182" s="12"/>
      <c r="DU182" s="15"/>
      <c r="EW182" s="38"/>
      <c r="EX182" s="38"/>
      <c r="EY182" s="38"/>
      <c r="EZ182" s="38"/>
      <c r="FA182" s="38" t="s">
        <v>850</v>
      </c>
      <c r="FC182" s="38">
        <v>14</v>
      </c>
    </row>
    <row r="183" spans="1:159" s="5" customFormat="1" x14ac:dyDescent="0.25">
      <c r="A183" s="38">
        <v>14</v>
      </c>
      <c r="B183" s="38" t="s">
        <v>354</v>
      </c>
      <c r="C183" s="38" t="s">
        <v>355</v>
      </c>
      <c r="D183" s="38">
        <v>2011</v>
      </c>
      <c r="E183" s="38">
        <v>2008</v>
      </c>
      <c r="F183" s="38" t="s">
        <v>357</v>
      </c>
      <c r="G183" s="38" t="s">
        <v>356</v>
      </c>
      <c r="H183" s="38">
        <v>46.88</v>
      </c>
      <c r="I183" s="38">
        <v>-102.79</v>
      </c>
      <c r="J183" s="38">
        <v>735.8</v>
      </c>
      <c r="K183" s="38"/>
      <c r="L183" s="38"/>
      <c r="M183" s="38"/>
      <c r="N183" s="38"/>
      <c r="O183" s="38"/>
      <c r="P183" s="57" t="s">
        <v>179</v>
      </c>
      <c r="Q183" s="57"/>
      <c r="R183" s="57"/>
      <c r="S183" s="57" t="s">
        <v>1640</v>
      </c>
      <c r="T183" s="57" t="s">
        <v>1640</v>
      </c>
      <c r="U183" s="38"/>
      <c r="V183" s="38"/>
      <c r="W183" s="38"/>
      <c r="X183" s="38" t="s">
        <v>175</v>
      </c>
      <c r="Y183" s="38"/>
      <c r="Z183" s="38"/>
      <c r="AA183" s="38"/>
      <c r="AB183" s="38"/>
      <c r="AC183" s="38" t="s">
        <v>1858</v>
      </c>
      <c r="AD183" s="153" t="str">
        <f t="shared" si="13"/>
        <v>Vetch/Rye</v>
      </c>
      <c r="AE183" s="38" t="s">
        <v>287</v>
      </c>
      <c r="AF183" s="38"/>
      <c r="AG183" s="38"/>
      <c r="AH183" s="38"/>
      <c r="AI183" s="38"/>
      <c r="AJ183" s="38" t="s">
        <v>275</v>
      </c>
      <c r="AK183" s="38" t="s">
        <v>275</v>
      </c>
      <c r="AL183" s="38" t="s">
        <v>230</v>
      </c>
      <c r="AM183" s="38"/>
      <c r="AN183" s="38"/>
      <c r="AO183" s="38"/>
      <c r="AP183" s="38" t="s">
        <v>154</v>
      </c>
      <c r="AT183" s="5">
        <v>3535</v>
      </c>
      <c r="AW183" s="64" t="s">
        <v>360</v>
      </c>
      <c r="DM183" s="23">
        <v>569</v>
      </c>
      <c r="DN183" s="5">
        <v>286</v>
      </c>
      <c r="DS183" s="12"/>
      <c r="DU183" s="15"/>
      <c r="EW183" s="38"/>
      <c r="EX183" s="38"/>
      <c r="EY183" s="38"/>
      <c r="EZ183" s="38"/>
      <c r="FA183" s="38" t="s">
        <v>850</v>
      </c>
      <c r="FC183" s="38">
        <v>14</v>
      </c>
    </row>
    <row r="184" spans="1:159" s="23" customFormat="1" x14ac:dyDescent="0.25">
      <c r="A184" s="23">
        <v>14</v>
      </c>
      <c r="B184" s="23" t="s">
        <v>354</v>
      </c>
      <c r="C184" s="23" t="s">
        <v>355</v>
      </c>
      <c r="D184" s="23">
        <v>2011</v>
      </c>
      <c r="E184" s="23">
        <v>2008</v>
      </c>
      <c r="F184" s="23" t="s">
        <v>357</v>
      </c>
      <c r="G184" s="23" t="s">
        <v>356</v>
      </c>
      <c r="H184" s="23">
        <v>46.88</v>
      </c>
      <c r="I184" s="23">
        <v>-102.79</v>
      </c>
      <c r="J184" s="23">
        <v>735.8</v>
      </c>
      <c r="P184" s="53" t="s">
        <v>179</v>
      </c>
      <c r="Q184" s="53"/>
      <c r="R184" s="53"/>
      <c r="S184" s="53" t="s">
        <v>1640</v>
      </c>
      <c r="T184" s="53" t="s">
        <v>1640</v>
      </c>
      <c r="X184" s="23" t="s">
        <v>175</v>
      </c>
      <c r="AC184" s="23" t="s">
        <v>1858</v>
      </c>
      <c r="AD184" s="153" t="str">
        <f t="shared" si="13"/>
        <v>Vetch/Rye</v>
      </c>
      <c r="AE184" s="23" t="s">
        <v>287</v>
      </c>
      <c r="AJ184" s="23" t="s">
        <v>275</v>
      </c>
      <c r="AK184" s="23" t="s">
        <v>275</v>
      </c>
      <c r="AL184" s="23" t="s">
        <v>230</v>
      </c>
      <c r="AP184" s="23" t="s">
        <v>154</v>
      </c>
      <c r="AT184" s="23">
        <v>2765</v>
      </c>
      <c r="AW184" s="64" t="s">
        <v>358</v>
      </c>
      <c r="DM184" s="23">
        <v>309</v>
      </c>
      <c r="DN184" s="23">
        <v>172</v>
      </c>
      <c r="DS184" s="12"/>
      <c r="DU184" s="15"/>
      <c r="FA184" s="23" t="s">
        <v>850</v>
      </c>
      <c r="FC184" s="23">
        <v>14</v>
      </c>
    </row>
    <row r="185" spans="1:159" s="23" customFormat="1" x14ac:dyDescent="0.25">
      <c r="A185" s="23">
        <v>14</v>
      </c>
      <c r="B185" s="23" t="s">
        <v>354</v>
      </c>
      <c r="C185" s="23" t="s">
        <v>355</v>
      </c>
      <c r="D185" s="23">
        <v>2011</v>
      </c>
      <c r="E185" s="23">
        <v>2008</v>
      </c>
      <c r="F185" s="23" t="s">
        <v>357</v>
      </c>
      <c r="G185" s="23" t="s">
        <v>356</v>
      </c>
      <c r="H185" s="23">
        <v>46.88</v>
      </c>
      <c r="I185" s="23">
        <v>-102.79</v>
      </c>
      <c r="J185" s="23">
        <v>735.8</v>
      </c>
      <c r="P185" s="53" t="s">
        <v>179</v>
      </c>
      <c r="Q185" s="53"/>
      <c r="R185" s="53"/>
      <c r="S185" s="53" t="s">
        <v>1640</v>
      </c>
      <c r="T185" s="53" t="s">
        <v>1640</v>
      </c>
      <c r="X185" s="23" t="s">
        <v>175</v>
      </c>
      <c r="AC185" s="23" t="s">
        <v>1858</v>
      </c>
      <c r="AD185" s="153" t="str">
        <f t="shared" si="13"/>
        <v>Vetch/Rye</v>
      </c>
      <c r="AE185" s="23" t="s">
        <v>287</v>
      </c>
      <c r="AJ185" s="23" t="s">
        <v>275</v>
      </c>
      <c r="AK185" s="23" t="s">
        <v>275</v>
      </c>
      <c r="AL185" s="23" t="s">
        <v>230</v>
      </c>
      <c r="AP185" s="23" t="s">
        <v>154</v>
      </c>
      <c r="AT185" s="23">
        <v>2765</v>
      </c>
      <c r="AW185" s="64" t="s">
        <v>359</v>
      </c>
      <c r="DM185" s="23">
        <v>196</v>
      </c>
      <c r="DN185" s="23">
        <v>172</v>
      </c>
      <c r="DS185" s="12"/>
      <c r="DU185" s="15"/>
      <c r="FA185" s="23" t="s">
        <v>850</v>
      </c>
      <c r="FC185" s="23">
        <v>14</v>
      </c>
    </row>
    <row r="186" spans="1:159" s="23" customFormat="1" x14ac:dyDescent="0.25">
      <c r="A186" s="23">
        <v>14</v>
      </c>
      <c r="B186" s="23" t="s">
        <v>354</v>
      </c>
      <c r="C186" s="23" t="s">
        <v>355</v>
      </c>
      <c r="D186" s="23">
        <v>2011</v>
      </c>
      <c r="E186" s="23">
        <v>2008</v>
      </c>
      <c r="F186" s="23" t="s">
        <v>357</v>
      </c>
      <c r="G186" s="23" t="s">
        <v>356</v>
      </c>
      <c r="H186" s="23">
        <v>46.88</v>
      </c>
      <c r="I186" s="23">
        <v>-102.79</v>
      </c>
      <c r="J186" s="23">
        <v>735.8</v>
      </c>
      <c r="P186" s="53" t="s">
        <v>179</v>
      </c>
      <c r="Q186" s="53"/>
      <c r="R186" s="53"/>
      <c r="S186" s="53" t="s">
        <v>1640</v>
      </c>
      <c r="T186" s="53" t="s">
        <v>1640</v>
      </c>
      <c r="X186" s="23" t="s">
        <v>175</v>
      </c>
      <c r="AC186" s="23" t="s">
        <v>1858</v>
      </c>
      <c r="AD186" s="153" t="str">
        <f t="shared" si="13"/>
        <v>Vetch/Rye</v>
      </c>
      <c r="AE186" s="23" t="s">
        <v>287</v>
      </c>
      <c r="AJ186" s="23" t="s">
        <v>275</v>
      </c>
      <c r="AK186" s="23" t="s">
        <v>275</v>
      </c>
      <c r="AL186" s="23" t="s">
        <v>230</v>
      </c>
      <c r="AP186" s="23" t="s">
        <v>154</v>
      </c>
      <c r="AT186" s="23">
        <v>2765</v>
      </c>
      <c r="AW186" s="64" t="s">
        <v>360</v>
      </c>
      <c r="DM186" s="23">
        <v>569</v>
      </c>
      <c r="DN186" s="23">
        <v>172</v>
      </c>
      <c r="DS186" s="12"/>
      <c r="DU186" s="15"/>
      <c r="FA186" s="23" t="s">
        <v>850</v>
      </c>
      <c r="FC186" s="23">
        <v>14</v>
      </c>
    </row>
    <row r="187" spans="1:159" s="5" customFormat="1" x14ac:dyDescent="0.25">
      <c r="A187" s="38">
        <v>14</v>
      </c>
      <c r="B187" s="38" t="s">
        <v>354</v>
      </c>
      <c r="C187" s="38" t="s">
        <v>355</v>
      </c>
      <c r="D187" s="38">
        <v>2011</v>
      </c>
      <c r="E187" s="38">
        <v>2009</v>
      </c>
      <c r="F187" s="38" t="s">
        <v>357</v>
      </c>
      <c r="G187" s="38" t="s">
        <v>356</v>
      </c>
      <c r="H187" s="38">
        <v>46.88</v>
      </c>
      <c r="I187" s="38">
        <v>-102.79</v>
      </c>
      <c r="J187" s="38">
        <v>735.8</v>
      </c>
      <c r="K187" s="38"/>
      <c r="L187" s="38"/>
      <c r="M187" s="38"/>
      <c r="N187" s="38"/>
      <c r="O187" s="38"/>
      <c r="P187" s="57" t="s">
        <v>180</v>
      </c>
      <c r="Q187" s="57"/>
      <c r="R187" s="57"/>
      <c r="S187" s="57" t="s">
        <v>1640</v>
      </c>
      <c r="T187" s="57" t="s">
        <v>1640</v>
      </c>
      <c r="U187" s="38"/>
      <c r="V187" s="38"/>
      <c r="W187" s="38"/>
      <c r="X187" s="38" t="s">
        <v>175</v>
      </c>
      <c r="Y187" s="38"/>
      <c r="Z187" s="38"/>
      <c r="AA187" s="38"/>
      <c r="AB187" s="38"/>
      <c r="AC187" s="38" t="s">
        <v>301</v>
      </c>
      <c r="AD187" s="153" t="str">
        <f t="shared" si="13"/>
        <v>Vetch</v>
      </c>
      <c r="AE187" s="38" t="s">
        <v>287</v>
      </c>
      <c r="AF187" s="38"/>
      <c r="AG187" s="38"/>
      <c r="AH187" s="38"/>
      <c r="AI187" s="38"/>
      <c r="AJ187" s="38" t="s">
        <v>275</v>
      </c>
      <c r="AK187" s="38" t="s">
        <v>275</v>
      </c>
      <c r="AL187" s="38" t="s">
        <v>230</v>
      </c>
      <c r="AM187" s="38"/>
      <c r="AN187" s="38"/>
      <c r="AO187" s="38"/>
      <c r="AP187" s="38" t="s">
        <v>154</v>
      </c>
      <c r="AT187" s="5">
        <v>702</v>
      </c>
      <c r="AW187" s="64" t="s">
        <v>358</v>
      </c>
      <c r="DM187" s="5">
        <v>589</v>
      </c>
      <c r="DN187" s="5">
        <v>1689</v>
      </c>
      <c r="DS187" s="12"/>
      <c r="DU187" s="15"/>
      <c r="EW187" s="38"/>
      <c r="EX187" s="38"/>
      <c r="EY187" s="38"/>
      <c r="EZ187" s="38"/>
      <c r="FA187" s="38" t="s">
        <v>850</v>
      </c>
      <c r="FC187" s="38">
        <v>14</v>
      </c>
    </row>
    <row r="188" spans="1:159" s="5" customFormat="1" x14ac:dyDescent="0.25">
      <c r="A188" s="38">
        <v>14</v>
      </c>
      <c r="B188" s="38" t="s">
        <v>354</v>
      </c>
      <c r="C188" s="38" t="s">
        <v>355</v>
      </c>
      <c r="D188" s="38">
        <v>2011</v>
      </c>
      <c r="E188" s="38">
        <v>2009</v>
      </c>
      <c r="F188" s="38" t="s">
        <v>357</v>
      </c>
      <c r="G188" s="38" t="s">
        <v>356</v>
      </c>
      <c r="H188" s="38">
        <v>46.88</v>
      </c>
      <c r="I188" s="38">
        <v>-102.79</v>
      </c>
      <c r="J188" s="38">
        <v>735.8</v>
      </c>
      <c r="K188" s="38"/>
      <c r="L188" s="38"/>
      <c r="M188" s="38"/>
      <c r="N188" s="38"/>
      <c r="O188" s="38"/>
      <c r="P188" s="57" t="s">
        <v>180</v>
      </c>
      <c r="Q188" s="57"/>
      <c r="R188" s="57"/>
      <c r="S188" s="57" t="s">
        <v>1640</v>
      </c>
      <c r="T188" s="57" t="s">
        <v>1640</v>
      </c>
      <c r="U188" s="38"/>
      <c r="V188" s="38"/>
      <c r="W188" s="38"/>
      <c r="X188" s="38" t="s">
        <v>175</v>
      </c>
      <c r="Y188" s="38"/>
      <c r="Z188" s="38"/>
      <c r="AA188" s="38"/>
      <c r="AB188" s="38"/>
      <c r="AC188" s="38" t="s">
        <v>301</v>
      </c>
      <c r="AD188" s="153" t="str">
        <f t="shared" si="13"/>
        <v>Vetch</v>
      </c>
      <c r="AE188" s="38" t="s">
        <v>287</v>
      </c>
      <c r="AF188" s="38"/>
      <c r="AG188" s="38"/>
      <c r="AH188" s="38"/>
      <c r="AI188" s="38"/>
      <c r="AJ188" s="38" t="s">
        <v>275</v>
      </c>
      <c r="AK188" s="38" t="s">
        <v>275</v>
      </c>
      <c r="AL188" s="38" t="s">
        <v>230</v>
      </c>
      <c r="AM188" s="38"/>
      <c r="AN188" s="38"/>
      <c r="AO188" s="38"/>
      <c r="AP188" s="38" t="s">
        <v>154</v>
      </c>
      <c r="AT188" s="5">
        <v>702</v>
      </c>
      <c r="AW188" s="64" t="s">
        <v>359</v>
      </c>
      <c r="DM188" s="5">
        <v>944</v>
      </c>
      <c r="DN188" s="5">
        <v>1689</v>
      </c>
      <c r="DS188" s="12"/>
      <c r="DU188" s="15"/>
      <c r="EW188" s="38"/>
      <c r="EX188" s="38"/>
      <c r="EY188" s="38"/>
      <c r="EZ188" s="38"/>
      <c r="FA188" s="38" t="s">
        <v>850</v>
      </c>
      <c r="FC188" s="38">
        <v>14</v>
      </c>
    </row>
    <row r="189" spans="1:159" s="5" customFormat="1" x14ac:dyDescent="0.25">
      <c r="A189" s="38">
        <v>14</v>
      </c>
      <c r="B189" s="38" t="s">
        <v>354</v>
      </c>
      <c r="C189" s="38" t="s">
        <v>355</v>
      </c>
      <c r="D189" s="38">
        <v>2011</v>
      </c>
      <c r="E189" s="38">
        <v>2009</v>
      </c>
      <c r="F189" s="38" t="s">
        <v>357</v>
      </c>
      <c r="G189" s="38" t="s">
        <v>356</v>
      </c>
      <c r="H189" s="38">
        <v>46.88</v>
      </c>
      <c r="I189" s="38">
        <v>-102.79</v>
      </c>
      <c r="J189" s="38">
        <v>735.8</v>
      </c>
      <c r="K189" s="38"/>
      <c r="L189" s="38"/>
      <c r="M189" s="38"/>
      <c r="N189" s="38"/>
      <c r="O189" s="38"/>
      <c r="P189" s="57" t="s">
        <v>180</v>
      </c>
      <c r="Q189" s="57"/>
      <c r="R189" s="57"/>
      <c r="S189" s="57" t="s">
        <v>1640</v>
      </c>
      <c r="T189" s="57" t="s">
        <v>1640</v>
      </c>
      <c r="U189" s="38"/>
      <c r="V189" s="38"/>
      <c r="W189" s="38"/>
      <c r="X189" s="38" t="s">
        <v>175</v>
      </c>
      <c r="Y189" s="38"/>
      <c r="Z189" s="38"/>
      <c r="AA189" s="38"/>
      <c r="AB189" s="38"/>
      <c r="AC189" s="38" t="s">
        <v>301</v>
      </c>
      <c r="AD189" s="153" t="str">
        <f t="shared" si="13"/>
        <v>Vetch</v>
      </c>
      <c r="AE189" s="38" t="s">
        <v>287</v>
      </c>
      <c r="AF189" s="38"/>
      <c r="AG189" s="38"/>
      <c r="AH189" s="38"/>
      <c r="AI189" s="38"/>
      <c r="AJ189" s="38" t="s">
        <v>275</v>
      </c>
      <c r="AK189" s="38" t="s">
        <v>275</v>
      </c>
      <c r="AL189" s="38" t="s">
        <v>230</v>
      </c>
      <c r="AM189" s="38"/>
      <c r="AN189" s="38"/>
      <c r="AO189" s="38"/>
      <c r="AP189" s="38" t="s">
        <v>154</v>
      </c>
      <c r="AT189" s="5">
        <v>702</v>
      </c>
      <c r="AW189" s="64" t="s">
        <v>360</v>
      </c>
      <c r="DM189" s="5">
        <v>404</v>
      </c>
      <c r="DN189" s="5">
        <v>1689</v>
      </c>
      <c r="DS189" s="12"/>
      <c r="DU189" s="15"/>
      <c r="EW189" s="38"/>
      <c r="EX189" s="38"/>
      <c r="EY189" s="38"/>
      <c r="EZ189" s="38"/>
      <c r="FA189" s="38" t="s">
        <v>850</v>
      </c>
      <c r="FC189" s="38">
        <v>14</v>
      </c>
    </row>
    <row r="190" spans="1:159" s="23" customFormat="1" x14ac:dyDescent="0.25">
      <c r="A190" s="23">
        <v>14</v>
      </c>
      <c r="B190" s="23" t="s">
        <v>354</v>
      </c>
      <c r="C190" s="23" t="s">
        <v>355</v>
      </c>
      <c r="D190" s="23">
        <v>2011</v>
      </c>
      <c r="E190" s="23">
        <v>2009</v>
      </c>
      <c r="F190" s="23" t="s">
        <v>357</v>
      </c>
      <c r="G190" s="23" t="s">
        <v>356</v>
      </c>
      <c r="H190" s="23">
        <v>46.88</v>
      </c>
      <c r="I190" s="23">
        <v>-102.79</v>
      </c>
      <c r="J190" s="23">
        <v>735.8</v>
      </c>
      <c r="P190" s="53" t="s">
        <v>180</v>
      </c>
      <c r="Q190" s="53"/>
      <c r="R190" s="53"/>
      <c r="S190" s="53" t="s">
        <v>1640</v>
      </c>
      <c r="T190" s="53" t="s">
        <v>1640</v>
      </c>
      <c r="X190" s="23" t="s">
        <v>175</v>
      </c>
      <c r="AC190" s="23" t="s">
        <v>301</v>
      </c>
      <c r="AD190" s="153" t="str">
        <f t="shared" si="13"/>
        <v>Vetch</v>
      </c>
      <c r="AE190" s="23" t="s">
        <v>287</v>
      </c>
      <c r="AJ190" s="23" t="s">
        <v>275</v>
      </c>
      <c r="AK190" s="23" t="s">
        <v>275</v>
      </c>
      <c r="AL190" s="23" t="s">
        <v>230</v>
      </c>
      <c r="AP190" s="23" t="s">
        <v>154</v>
      </c>
      <c r="AT190" s="23">
        <v>4919</v>
      </c>
      <c r="AW190" s="64" t="s">
        <v>358</v>
      </c>
      <c r="DM190" s="5">
        <v>589</v>
      </c>
      <c r="DN190" s="23">
        <v>75</v>
      </c>
      <c r="DS190" s="12"/>
      <c r="DU190" s="15"/>
      <c r="FA190" s="23" t="s">
        <v>850</v>
      </c>
      <c r="FC190" s="23">
        <v>14</v>
      </c>
    </row>
    <row r="191" spans="1:159" s="23" customFormat="1" x14ac:dyDescent="0.25">
      <c r="A191" s="23">
        <v>14</v>
      </c>
      <c r="B191" s="23" t="s">
        <v>354</v>
      </c>
      <c r="C191" s="23" t="s">
        <v>355</v>
      </c>
      <c r="D191" s="23">
        <v>2011</v>
      </c>
      <c r="E191" s="23">
        <v>2009</v>
      </c>
      <c r="F191" s="23" t="s">
        <v>357</v>
      </c>
      <c r="G191" s="23" t="s">
        <v>356</v>
      </c>
      <c r="H191" s="23">
        <v>46.88</v>
      </c>
      <c r="I191" s="23">
        <v>-102.79</v>
      </c>
      <c r="J191" s="23">
        <v>735.8</v>
      </c>
      <c r="P191" s="53" t="s">
        <v>180</v>
      </c>
      <c r="Q191" s="53"/>
      <c r="R191" s="53"/>
      <c r="S191" s="53" t="s">
        <v>1640</v>
      </c>
      <c r="T191" s="53" t="s">
        <v>1640</v>
      </c>
      <c r="X191" s="23" t="s">
        <v>175</v>
      </c>
      <c r="AC191" s="23" t="s">
        <v>301</v>
      </c>
      <c r="AD191" s="153" t="str">
        <f t="shared" si="13"/>
        <v>Vetch</v>
      </c>
      <c r="AE191" s="23" t="s">
        <v>287</v>
      </c>
      <c r="AJ191" s="23" t="s">
        <v>275</v>
      </c>
      <c r="AK191" s="23" t="s">
        <v>275</v>
      </c>
      <c r="AL191" s="23" t="s">
        <v>230</v>
      </c>
      <c r="AP191" s="23" t="s">
        <v>154</v>
      </c>
      <c r="AT191" s="23">
        <v>4919</v>
      </c>
      <c r="AW191" s="64" t="s">
        <v>359</v>
      </c>
      <c r="DM191" s="5">
        <v>944</v>
      </c>
      <c r="DN191" s="23">
        <v>75</v>
      </c>
      <c r="DS191" s="12"/>
      <c r="DU191" s="15"/>
      <c r="FA191" s="23" t="s">
        <v>850</v>
      </c>
      <c r="FC191" s="23">
        <v>14</v>
      </c>
    </row>
    <row r="192" spans="1:159" s="23" customFormat="1" x14ac:dyDescent="0.25">
      <c r="A192" s="23">
        <v>14</v>
      </c>
      <c r="B192" s="23" t="s">
        <v>354</v>
      </c>
      <c r="C192" s="23" t="s">
        <v>355</v>
      </c>
      <c r="D192" s="23">
        <v>2011</v>
      </c>
      <c r="E192" s="23">
        <v>2009</v>
      </c>
      <c r="F192" s="23" t="s">
        <v>357</v>
      </c>
      <c r="G192" s="23" t="s">
        <v>356</v>
      </c>
      <c r="H192" s="23">
        <v>46.88</v>
      </c>
      <c r="I192" s="23">
        <v>-102.79</v>
      </c>
      <c r="J192" s="23">
        <v>735.8</v>
      </c>
      <c r="P192" s="53" t="s">
        <v>180</v>
      </c>
      <c r="Q192" s="53"/>
      <c r="R192" s="53"/>
      <c r="S192" s="53" t="s">
        <v>1640</v>
      </c>
      <c r="T192" s="53" t="s">
        <v>1640</v>
      </c>
      <c r="X192" s="23" t="s">
        <v>175</v>
      </c>
      <c r="AC192" s="23" t="s">
        <v>301</v>
      </c>
      <c r="AD192" s="153" t="str">
        <f t="shared" si="13"/>
        <v>Vetch</v>
      </c>
      <c r="AE192" s="23" t="s">
        <v>287</v>
      </c>
      <c r="AJ192" s="23" t="s">
        <v>275</v>
      </c>
      <c r="AK192" s="23" t="s">
        <v>275</v>
      </c>
      <c r="AL192" s="23" t="s">
        <v>230</v>
      </c>
      <c r="AP192" s="23" t="s">
        <v>154</v>
      </c>
      <c r="AT192" s="23">
        <v>4919</v>
      </c>
      <c r="AW192" s="64" t="s">
        <v>360</v>
      </c>
      <c r="DM192" s="5">
        <v>404</v>
      </c>
      <c r="DN192" s="23">
        <v>75</v>
      </c>
      <c r="DS192" s="12"/>
      <c r="DU192" s="15"/>
      <c r="FA192" s="23" t="s">
        <v>850</v>
      </c>
      <c r="FC192" s="23">
        <v>14</v>
      </c>
    </row>
    <row r="193" spans="1:159" s="5" customFormat="1" x14ac:dyDescent="0.25">
      <c r="A193" s="38">
        <v>14</v>
      </c>
      <c r="B193" s="38" t="s">
        <v>354</v>
      </c>
      <c r="C193" s="38" t="s">
        <v>355</v>
      </c>
      <c r="D193" s="38">
        <v>2011</v>
      </c>
      <c r="E193" s="38">
        <v>2009</v>
      </c>
      <c r="F193" s="38" t="s">
        <v>357</v>
      </c>
      <c r="G193" s="38" t="s">
        <v>356</v>
      </c>
      <c r="H193" s="38">
        <v>46.88</v>
      </c>
      <c r="I193" s="38">
        <v>-102.79</v>
      </c>
      <c r="J193" s="38">
        <v>735.8</v>
      </c>
      <c r="K193" s="38"/>
      <c r="L193" s="38"/>
      <c r="M193" s="38"/>
      <c r="N193" s="38"/>
      <c r="O193" s="38"/>
      <c r="P193" s="57" t="s">
        <v>180</v>
      </c>
      <c r="Q193" s="57"/>
      <c r="R193" s="57"/>
      <c r="S193" s="57" t="s">
        <v>1640</v>
      </c>
      <c r="T193" s="57" t="s">
        <v>1640</v>
      </c>
      <c r="U193" s="38"/>
      <c r="V193" s="38"/>
      <c r="W193" s="38"/>
      <c r="X193" s="38" t="s">
        <v>175</v>
      </c>
      <c r="Y193" s="38"/>
      <c r="Z193" s="38"/>
      <c r="AA193" s="38"/>
      <c r="AB193" s="38"/>
      <c r="AC193" s="38" t="s">
        <v>1847</v>
      </c>
      <c r="AD193" s="153" t="str">
        <f t="shared" si="13"/>
        <v>Rye_Winter</v>
      </c>
      <c r="AE193" s="38" t="s">
        <v>287</v>
      </c>
      <c r="AF193" s="38"/>
      <c r="AG193" s="38"/>
      <c r="AH193" s="38"/>
      <c r="AI193" s="38"/>
      <c r="AJ193" s="38" t="s">
        <v>275</v>
      </c>
      <c r="AK193" s="38" t="s">
        <v>275</v>
      </c>
      <c r="AL193" s="38" t="s">
        <v>230</v>
      </c>
      <c r="AM193" s="38"/>
      <c r="AN193" s="38"/>
      <c r="AO193" s="38"/>
      <c r="AP193" s="38" t="s">
        <v>154</v>
      </c>
      <c r="AT193" s="5">
        <v>3182</v>
      </c>
      <c r="AW193" s="64" t="s">
        <v>358</v>
      </c>
      <c r="DM193" s="5">
        <v>589</v>
      </c>
      <c r="DN193" s="5">
        <v>460</v>
      </c>
      <c r="DS193" s="12"/>
      <c r="DU193" s="15"/>
      <c r="EW193" s="38"/>
      <c r="EX193" s="38"/>
      <c r="EY193" s="38"/>
      <c r="EZ193" s="38"/>
      <c r="FA193" s="38" t="s">
        <v>850</v>
      </c>
      <c r="FC193" s="38">
        <v>14</v>
      </c>
    </row>
    <row r="194" spans="1:159" s="5" customFormat="1" x14ac:dyDescent="0.25">
      <c r="A194" s="38">
        <v>14</v>
      </c>
      <c r="B194" s="38" t="s">
        <v>354</v>
      </c>
      <c r="C194" s="38" t="s">
        <v>355</v>
      </c>
      <c r="D194" s="38">
        <v>2011</v>
      </c>
      <c r="E194" s="38">
        <v>2009</v>
      </c>
      <c r="F194" s="38" t="s">
        <v>357</v>
      </c>
      <c r="G194" s="38" t="s">
        <v>356</v>
      </c>
      <c r="H194" s="38">
        <v>46.88</v>
      </c>
      <c r="I194" s="38">
        <v>-102.79</v>
      </c>
      <c r="J194" s="38">
        <v>735.8</v>
      </c>
      <c r="K194" s="38"/>
      <c r="L194" s="38"/>
      <c r="M194" s="38"/>
      <c r="N194" s="38"/>
      <c r="O194" s="38"/>
      <c r="P194" s="57" t="s">
        <v>180</v>
      </c>
      <c r="Q194" s="57"/>
      <c r="R194" s="57"/>
      <c r="S194" s="57" t="s">
        <v>1640</v>
      </c>
      <c r="T194" s="57" t="s">
        <v>1640</v>
      </c>
      <c r="U194" s="38"/>
      <c r="V194" s="38"/>
      <c r="W194" s="38"/>
      <c r="X194" s="38" t="s">
        <v>175</v>
      </c>
      <c r="Y194" s="38"/>
      <c r="Z194" s="38"/>
      <c r="AA194" s="38"/>
      <c r="AB194" s="38"/>
      <c r="AC194" s="38" t="s">
        <v>1847</v>
      </c>
      <c r="AD194" s="153" t="str">
        <f t="shared" si="13"/>
        <v>Rye_Winter</v>
      </c>
      <c r="AE194" s="38" t="s">
        <v>287</v>
      </c>
      <c r="AF194" s="38"/>
      <c r="AG194" s="38"/>
      <c r="AH194" s="38"/>
      <c r="AI194" s="38"/>
      <c r="AJ194" s="38" t="s">
        <v>275</v>
      </c>
      <c r="AK194" s="38" t="s">
        <v>275</v>
      </c>
      <c r="AL194" s="38" t="s">
        <v>230</v>
      </c>
      <c r="AM194" s="38"/>
      <c r="AN194" s="38"/>
      <c r="AO194" s="38"/>
      <c r="AP194" s="38" t="s">
        <v>154</v>
      </c>
      <c r="AT194" s="5">
        <v>3182</v>
      </c>
      <c r="AW194" s="64" t="s">
        <v>359</v>
      </c>
      <c r="DM194" s="5">
        <v>944</v>
      </c>
      <c r="DN194" s="5">
        <v>460</v>
      </c>
      <c r="DS194" s="12"/>
      <c r="DU194" s="15"/>
      <c r="EW194" s="38"/>
      <c r="EX194" s="38"/>
      <c r="EY194" s="38"/>
      <c r="EZ194" s="38"/>
      <c r="FA194" s="38" t="s">
        <v>850</v>
      </c>
      <c r="FC194" s="38">
        <v>14</v>
      </c>
    </row>
    <row r="195" spans="1:159" s="5" customFormat="1" x14ac:dyDescent="0.25">
      <c r="A195" s="38">
        <v>14</v>
      </c>
      <c r="B195" s="38" t="s">
        <v>354</v>
      </c>
      <c r="C195" s="38" t="s">
        <v>355</v>
      </c>
      <c r="D195" s="38">
        <v>2011</v>
      </c>
      <c r="E195" s="38">
        <v>2009</v>
      </c>
      <c r="F195" s="38" t="s">
        <v>357</v>
      </c>
      <c r="G195" s="38" t="s">
        <v>356</v>
      </c>
      <c r="H195" s="38">
        <v>46.88</v>
      </c>
      <c r="I195" s="38">
        <v>-102.79</v>
      </c>
      <c r="J195" s="38">
        <v>735.8</v>
      </c>
      <c r="K195" s="38"/>
      <c r="L195" s="38"/>
      <c r="M195" s="38"/>
      <c r="N195" s="38"/>
      <c r="O195" s="38"/>
      <c r="P195" s="57" t="s">
        <v>180</v>
      </c>
      <c r="Q195" s="57"/>
      <c r="R195" s="57"/>
      <c r="S195" s="57" t="s">
        <v>1640</v>
      </c>
      <c r="T195" s="57" t="s">
        <v>1640</v>
      </c>
      <c r="U195" s="38"/>
      <c r="V195" s="38"/>
      <c r="W195" s="38"/>
      <c r="X195" s="38" t="s">
        <v>175</v>
      </c>
      <c r="Y195" s="38"/>
      <c r="Z195" s="38"/>
      <c r="AA195" s="38"/>
      <c r="AB195" s="38"/>
      <c r="AC195" s="38" t="s">
        <v>1847</v>
      </c>
      <c r="AD195" s="153" t="str">
        <f t="shared" ref="AD195:AD258" si="36">IF(OR(AC195="*Rye",AC195="Rye*",AC195="Downy_brome"),"Rye",IF(OR(AC195="*Oat",AC195="Oat*",AC195="Trudan_8",AC195="*Wheat",AC195="Wheat*",AC195="Barley*",AC195="Hemp",AC195="Hemp",AC195="Triticale*",AC195="Grass",AC195="Millet"),"Grass",IF(OR(AC195="*clover",AC195="clover*",AC195="Vetch*",AC195="Vetch*",AC195="Alfalfa",AC195="Soybean",AC195="*Lentil",AC195="Lentil*",AC195="*Pea",AC195="Pea*",AC195="Lupine"),"Legume",AC195)))</f>
        <v>Rye_Winter</v>
      </c>
      <c r="AE195" s="38" t="s">
        <v>287</v>
      </c>
      <c r="AF195" s="38"/>
      <c r="AG195" s="38"/>
      <c r="AH195" s="38"/>
      <c r="AI195" s="38"/>
      <c r="AJ195" s="38" t="s">
        <v>275</v>
      </c>
      <c r="AK195" s="38" t="s">
        <v>275</v>
      </c>
      <c r="AL195" s="38" t="s">
        <v>230</v>
      </c>
      <c r="AM195" s="38"/>
      <c r="AN195" s="38"/>
      <c r="AO195" s="38"/>
      <c r="AP195" s="38" t="s">
        <v>154</v>
      </c>
      <c r="AT195" s="5">
        <v>3182</v>
      </c>
      <c r="AW195" s="64" t="s">
        <v>360</v>
      </c>
      <c r="DM195" s="5">
        <v>404</v>
      </c>
      <c r="DN195" s="5">
        <v>460</v>
      </c>
      <c r="DS195" s="12"/>
      <c r="DU195" s="15"/>
      <c r="EW195" s="38"/>
      <c r="EX195" s="38"/>
      <c r="EY195" s="38"/>
      <c r="EZ195" s="38"/>
      <c r="FA195" s="38" t="s">
        <v>850</v>
      </c>
      <c r="FC195" s="38">
        <v>14</v>
      </c>
    </row>
    <row r="196" spans="1:159" s="23" customFormat="1" x14ac:dyDescent="0.25">
      <c r="A196" s="23">
        <v>14</v>
      </c>
      <c r="B196" s="23" t="s">
        <v>354</v>
      </c>
      <c r="C196" s="23" t="s">
        <v>355</v>
      </c>
      <c r="D196" s="23">
        <v>2011</v>
      </c>
      <c r="E196" s="23">
        <v>2009</v>
      </c>
      <c r="F196" s="23" t="s">
        <v>357</v>
      </c>
      <c r="G196" s="23" t="s">
        <v>356</v>
      </c>
      <c r="H196" s="23">
        <v>46.88</v>
      </c>
      <c r="I196" s="23">
        <v>-102.79</v>
      </c>
      <c r="J196" s="23">
        <v>735.8</v>
      </c>
      <c r="P196" s="53" t="s">
        <v>180</v>
      </c>
      <c r="Q196" s="53"/>
      <c r="R196" s="53"/>
      <c r="S196" s="53" t="s">
        <v>1640</v>
      </c>
      <c r="T196" s="53" t="s">
        <v>1640</v>
      </c>
      <c r="X196" s="23" t="s">
        <v>175</v>
      </c>
      <c r="AC196" s="23" t="s">
        <v>1858</v>
      </c>
      <c r="AD196" s="153" t="str">
        <f t="shared" si="36"/>
        <v>Vetch/Rye</v>
      </c>
      <c r="AE196" s="23" t="s">
        <v>287</v>
      </c>
      <c r="AJ196" s="23" t="s">
        <v>275</v>
      </c>
      <c r="AK196" s="23" t="s">
        <v>275</v>
      </c>
      <c r="AL196" s="23" t="s">
        <v>230</v>
      </c>
      <c r="AP196" s="23" t="s">
        <v>154</v>
      </c>
      <c r="AT196" s="23">
        <v>4716</v>
      </c>
      <c r="AW196" s="64" t="s">
        <v>358</v>
      </c>
      <c r="DM196" s="5">
        <v>589</v>
      </c>
      <c r="DN196" s="23">
        <v>297</v>
      </c>
      <c r="DS196" s="12"/>
      <c r="DU196" s="15"/>
      <c r="FA196" s="23" t="s">
        <v>850</v>
      </c>
      <c r="FC196" s="23">
        <v>14</v>
      </c>
    </row>
    <row r="197" spans="1:159" s="23" customFormat="1" x14ac:dyDescent="0.25">
      <c r="A197" s="23">
        <v>14</v>
      </c>
      <c r="B197" s="23" t="s">
        <v>354</v>
      </c>
      <c r="C197" s="23" t="s">
        <v>355</v>
      </c>
      <c r="D197" s="23">
        <v>2011</v>
      </c>
      <c r="E197" s="23">
        <v>2009</v>
      </c>
      <c r="F197" s="23" t="s">
        <v>357</v>
      </c>
      <c r="G197" s="23" t="s">
        <v>356</v>
      </c>
      <c r="H197" s="23">
        <v>46.88</v>
      </c>
      <c r="I197" s="23">
        <v>-102.79</v>
      </c>
      <c r="J197" s="23">
        <v>735.8</v>
      </c>
      <c r="P197" s="53" t="s">
        <v>180</v>
      </c>
      <c r="Q197" s="53"/>
      <c r="R197" s="53"/>
      <c r="S197" s="53" t="s">
        <v>1640</v>
      </c>
      <c r="T197" s="53" t="s">
        <v>1640</v>
      </c>
      <c r="X197" s="23" t="s">
        <v>175</v>
      </c>
      <c r="AC197" s="23" t="s">
        <v>1858</v>
      </c>
      <c r="AD197" s="153" t="str">
        <f t="shared" si="36"/>
        <v>Vetch/Rye</v>
      </c>
      <c r="AE197" s="23" t="s">
        <v>287</v>
      </c>
      <c r="AJ197" s="23" t="s">
        <v>275</v>
      </c>
      <c r="AK197" s="23" t="s">
        <v>275</v>
      </c>
      <c r="AL197" s="23" t="s">
        <v>230</v>
      </c>
      <c r="AP197" s="23" t="s">
        <v>154</v>
      </c>
      <c r="AT197" s="23">
        <v>4716</v>
      </c>
      <c r="AW197" s="64" t="s">
        <v>359</v>
      </c>
      <c r="DM197" s="5">
        <v>944</v>
      </c>
      <c r="DN197" s="23">
        <v>297</v>
      </c>
      <c r="DS197" s="12"/>
      <c r="DU197" s="15"/>
      <c r="FA197" s="23" t="s">
        <v>850</v>
      </c>
      <c r="FC197" s="23">
        <v>14</v>
      </c>
    </row>
    <row r="198" spans="1:159" s="23" customFormat="1" x14ac:dyDescent="0.25">
      <c r="A198" s="23">
        <v>14</v>
      </c>
      <c r="B198" s="23" t="s">
        <v>354</v>
      </c>
      <c r="C198" s="23" t="s">
        <v>355</v>
      </c>
      <c r="D198" s="23">
        <v>2011</v>
      </c>
      <c r="E198" s="23">
        <v>2009</v>
      </c>
      <c r="F198" s="23" t="s">
        <v>357</v>
      </c>
      <c r="G198" s="23" t="s">
        <v>356</v>
      </c>
      <c r="H198" s="23">
        <v>46.88</v>
      </c>
      <c r="I198" s="23">
        <v>-102.79</v>
      </c>
      <c r="J198" s="23">
        <v>735.8</v>
      </c>
      <c r="P198" s="53" t="s">
        <v>180</v>
      </c>
      <c r="Q198" s="53"/>
      <c r="R198" s="53"/>
      <c r="S198" s="53" t="s">
        <v>1640</v>
      </c>
      <c r="T198" s="53" t="s">
        <v>1640</v>
      </c>
      <c r="X198" s="23" t="s">
        <v>175</v>
      </c>
      <c r="AC198" s="23" t="s">
        <v>1858</v>
      </c>
      <c r="AD198" s="153" t="str">
        <f t="shared" si="36"/>
        <v>Vetch/Rye</v>
      </c>
      <c r="AE198" s="23" t="s">
        <v>287</v>
      </c>
      <c r="AJ198" s="23" t="s">
        <v>275</v>
      </c>
      <c r="AK198" s="23" t="s">
        <v>275</v>
      </c>
      <c r="AL198" s="23" t="s">
        <v>230</v>
      </c>
      <c r="AP198" s="23" t="s">
        <v>154</v>
      </c>
      <c r="AT198" s="23">
        <v>4716</v>
      </c>
      <c r="AW198" s="64" t="s">
        <v>360</v>
      </c>
      <c r="DM198" s="5">
        <v>404</v>
      </c>
      <c r="DN198" s="23">
        <v>297</v>
      </c>
      <c r="DS198" s="12"/>
      <c r="DU198" s="15"/>
      <c r="FA198" s="23" t="s">
        <v>850</v>
      </c>
      <c r="FC198" s="23">
        <v>14</v>
      </c>
    </row>
    <row r="199" spans="1:159" s="38" customFormat="1" x14ac:dyDescent="0.25">
      <c r="A199" s="38">
        <v>14</v>
      </c>
      <c r="B199" s="38" t="s">
        <v>354</v>
      </c>
      <c r="C199" s="38" t="s">
        <v>355</v>
      </c>
      <c r="D199" s="38">
        <v>2011</v>
      </c>
      <c r="E199" s="38">
        <v>2009</v>
      </c>
      <c r="F199" s="38" t="s">
        <v>357</v>
      </c>
      <c r="G199" s="38" t="s">
        <v>356</v>
      </c>
      <c r="H199" s="38">
        <v>46.88</v>
      </c>
      <c r="I199" s="38">
        <v>-102.79</v>
      </c>
      <c r="J199" s="38">
        <v>735.8</v>
      </c>
      <c r="P199" s="57" t="s">
        <v>180</v>
      </c>
      <c r="Q199" s="57"/>
      <c r="R199" s="57"/>
      <c r="S199" s="57" t="s">
        <v>1640</v>
      </c>
      <c r="T199" s="57" t="s">
        <v>1640</v>
      </c>
      <c r="X199" s="38" t="s">
        <v>175</v>
      </c>
      <c r="AC199" s="38" t="s">
        <v>1858</v>
      </c>
      <c r="AD199" s="153" t="str">
        <f t="shared" si="36"/>
        <v>Vetch/Rye</v>
      </c>
      <c r="AE199" s="38" t="s">
        <v>287</v>
      </c>
      <c r="AJ199" s="38" t="s">
        <v>275</v>
      </c>
      <c r="AK199" s="38" t="s">
        <v>275</v>
      </c>
      <c r="AL199" s="38" t="s">
        <v>230</v>
      </c>
      <c r="AP199" s="38" t="s">
        <v>154</v>
      </c>
      <c r="AT199" s="38">
        <v>3052</v>
      </c>
      <c r="AW199" s="64" t="s">
        <v>358</v>
      </c>
      <c r="DM199" s="5">
        <v>589</v>
      </c>
      <c r="DN199" s="38">
        <v>342</v>
      </c>
      <c r="DS199" s="12"/>
      <c r="DU199" s="15"/>
      <c r="FA199" s="38" t="s">
        <v>850</v>
      </c>
      <c r="FC199" s="38">
        <v>14</v>
      </c>
    </row>
    <row r="200" spans="1:159" s="38" customFormat="1" x14ac:dyDescent="0.25">
      <c r="A200" s="38">
        <v>14</v>
      </c>
      <c r="B200" s="38" t="s">
        <v>354</v>
      </c>
      <c r="C200" s="38" t="s">
        <v>355</v>
      </c>
      <c r="D200" s="38">
        <v>2011</v>
      </c>
      <c r="E200" s="38">
        <v>2009</v>
      </c>
      <c r="F200" s="38" t="s">
        <v>357</v>
      </c>
      <c r="G200" s="38" t="s">
        <v>356</v>
      </c>
      <c r="H200" s="38">
        <v>46.88</v>
      </c>
      <c r="I200" s="38">
        <v>-102.79</v>
      </c>
      <c r="J200" s="38">
        <v>735.8</v>
      </c>
      <c r="P200" s="57" t="s">
        <v>180</v>
      </c>
      <c r="Q200" s="57"/>
      <c r="R200" s="57"/>
      <c r="S200" s="57" t="s">
        <v>1640</v>
      </c>
      <c r="T200" s="57" t="s">
        <v>1640</v>
      </c>
      <c r="X200" s="38" t="s">
        <v>175</v>
      </c>
      <c r="AC200" s="38" t="s">
        <v>1858</v>
      </c>
      <c r="AD200" s="153" t="str">
        <f t="shared" si="36"/>
        <v>Vetch/Rye</v>
      </c>
      <c r="AE200" s="38" t="s">
        <v>287</v>
      </c>
      <c r="AJ200" s="38" t="s">
        <v>275</v>
      </c>
      <c r="AK200" s="38" t="s">
        <v>275</v>
      </c>
      <c r="AL200" s="38" t="s">
        <v>230</v>
      </c>
      <c r="AP200" s="38" t="s">
        <v>154</v>
      </c>
      <c r="AT200" s="38">
        <v>3052</v>
      </c>
      <c r="AW200" s="64" t="s">
        <v>359</v>
      </c>
      <c r="DM200" s="5">
        <v>944</v>
      </c>
      <c r="DN200" s="38">
        <v>342</v>
      </c>
      <c r="DS200" s="12"/>
      <c r="DU200" s="15"/>
      <c r="FA200" s="38" t="s">
        <v>850</v>
      </c>
      <c r="FC200" s="38">
        <v>14</v>
      </c>
    </row>
    <row r="201" spans="1:159" s="38" customFormat="1" x14ac:dyDescent="0.25">
      <c r="A201" s="38">
        <v>14</v>
      </c>
      <c r="B201" s="38" t="s">
        <v>354</v>
      </c>
      <c r="C201" s="38" t="s">
        <v>355</v>
      </c>
      <c r="D201" s="38">
        <v>2011</v>
      </c>
      <c r="E201" s="38">
        <v>2009</v>
      </c>
      <c r="F201" s="38" t="s">
        <v>357</v>
      </c>
      <c r="G201" s="38" t="s">
        <v>356</v>
      </c>
      <c r="H201" s="38">
        <v>46.88</v>
      </c>
      <c r="I201" s="38">
        <v>-102.79</v>
      </c>
      <c r="J201" s="38">
        <v>735.8</v>
      </c>
      <c r="P201" s="57" t="s">
        <v>180</v>
      </c>
      <c r="Q201" s="57"/>
      <c r="R201" s="57"/>
      <c r="S201" s="57" t="s">
        <v>1640</v>
      </c>
      <c r="T201" s="57" t="s">
        <v>1640</v>
      </c>
      <c r="X201" s="38" t="s">
        <v>175</v>
      </c>
      <c r="AC201" s="38" t="s">
        <v>1858</v>
      </c>
      <c r="AD201" s="153" t="str">
        <f t="shared" si="36"/>
        <v>Vetch/Rye</v>
      </c>
      <c r="AE201" s="38" t="s">
        <v>287</v>
      </c>
      <c r="AJ201" s="38" t="s">
        <v>275</v>
      </c>
      <c r="AK201" s="38" t="s">
        <v>275</v>
      </c>
      <c r="AL201" s="38" t="s">
        <v>230</v>
      </c>
      <c r="AP201" s="38" t="s">
        <v>154</v>
      </c>
      <c r="AT201" s="38">
        <v>3052</v>
      </c>
      <c r="AW201" s="64" t="s">
        <v>360</v>
      </c>
      <c r="DM201" s="5">
        <v>404</v>
      </c>
      <c r="DN201" s="38">
        <v>342</v>
      </c>
      <c r="DS201" s="12"/>
      <c r="DU201" s="15"/>
      <c r="FA201" s="38" t="s">
        <v>850</v>
      </c>
      <c r="FC201" s="38">
        <v>14</v>
      </c>
    </row>
    <row r="202" spans="1:159" s="23" customFormat="1" x14ac:dyDescent="0.25">
      <c r="A202" s="23">
        <v>14</v>
      </c>
      <c r="B202" s="23" t="s">
        <v>354</v>
      </c>
      <c r="C202" s="23" t="s">
        <v>355</v>
      </c>
      <c r="D202" s="23">
        <v>2011</v>
      </c>
      <c r="E202" s="23">
        <v>2010</v>
      </c>
      <c r="F202" s="23" t="s">
        <v>357</v>
      </c>
      <c r="G202" s="23" t="s">
        <v>356</v>
      </c>
      <c r="H202" s="23">
        <v>46.88</v>
      </c>
      <c r="I202" s="23">
        <v>-102.79</v>
      </c>
      <c r="J202" s="23">
        <v>735.8</v>
      </c>
      <c r="P202" s="53" t="s">
        <v>181</v>
      </c>
      <c r="Q202" s="53"/>
      <c r="R202" s="53"/>
      <c r="S202" s="53" t="s">
        <v>1640</v>
      </c>
      <c r="T202" s="53" t="s">
        <v>1640</v>
      </c>
      <c r="X202" s="23" t="s">
        <v>175</v>
      </c>
      <c r="AC202" s="23" t="s">
        <v>301</v>
      </c>
      <c r="AD202" s="153" t="str">
        <f t="shared" si="36"/>
        <v>Vetch</v>
      </c>
      <c r="AE202" s="23" t="s">
        <v>287</v>
      </c>
      <c r="AJ202" s="23" t="s">
        <v>275</v>
      </c>
      <c r="AK202" s="23" t="s">
        <v>275</v>
      </c>
      <c r="AL202" s="23" t="s">
        <v>230</v>
      </c>
      <c r="AP202" s="23" t="s">
        <v>154</v>
      </c>
      <c r="AT202" s="23">
        <v>1633</v>
      </c>
      <c r="AW202" s="64" t="s">
        <v>358</v>
      </c>
      <c r="DM202" s="23">
        <v>796</v>
      </c>
      <c r="DN202" s="23">
        <v>2436</v>
      </c>
      <c r="DS202" s="12"/>
      <c r="DU202" s="15"/>
      <c r="FA202" s="23" t="s">
        <v>850</v>
      </c>
      <c r="FC202" s="23">
        <v>14</v>
      </c>
    </row>
    <row r="203" spans="1:159" s="23" customFormat="1" x14ac:dyDescent="0.25">
      <c r="A203" s="23">
        <v>14</v>
      </c>
      <c r="B203" s="23" t="s">
        <v>354</v>
      </c>
      <c r="C203" s="23" t="s">
        <v>355</v>
      </c>
      <c r="D203" s="23">
        <v>2011</v>
      </c>
      <c r="E203" s="23">
        <v>2010</v>
      </c>
      <c r="F203" s="23" t="s">
        <v>357</v>
      </c>
      <c r="G203" s="23" t="s">
        <v>356</v>
      </c>
      <c r="H203" s="23">
        <v>46.88</v>
      </c>
      <c r="I203" s="23">
        <v>-102.79</v>
      </c>
      <c r="J203" s="23">
        <v>735.8</v>
      </c>
      <c r="P203" s="53" t="s">
        <v>181</v>
      </c>
      <c r="Q203" s="53"/>
      <c r="R203" s="53"/>
      <c r="S203" s="53" t="s">
        <v>1640</v>
      </c>
      <c r="T203" s="53" t="s">
        <v>1640</v>
      </c>
      <c r="X203" s="23" t="s">
        <v>175</v>
      </c>
      <c r="AC203" s="23" t="s">
        <v>301</v>
      </c>
      <c r="AD203" s="153" t="str">
        <f t="shared" si="36"/>
        <v>Vetch</v>
      </c>
      <c r="AE203" s="23" t="s">
        <v>287</v>
      </c>
      <c r="AJ203" s="23" t="s">
        <v>275</v>
      </c>
      <c r="AK203" s="23" t="s">
        <v>275</v>
      </c>
      <c r="AL203" s="23" t="s">
        <v>230</v>
      </c>
      <c r="AP203" s="23" t="s">
        <v>154</v>
      </c>
      <c r="AT203" s="23">
        <v>1633</v>
      </c>
      <c r="AW203" s="64" t="s">
        <v>359</v>
      </c>
      <c r="DM203" s="23">
        <v>1738</v>
      </c>
      <c r="DN203" s="23">
        <v>2436</v>
      </c>
      <c r="DS203" s="12"/>
      <c r="DU203" s="15"/>
      <c r="FA203" s="23" t="s">
        <v>850</v>
      </c>
      <c r="FC203" s="23">
        <v>14</v>
      </c>
    </row>
    <row r="204" spans="1:159" s="23" customFormat="1" x14ac:dyDescent="0.25">
      <c r="A204" s="23">
        <v>14</v>
      </c>
      <c r="B204" s="23" t="s">
        <v>354</v>
      </c>
      <c r="C204" s="23" t="s">
        <v>355</v>
      </c>
      <c r="D204" s="23">
        <v>2011</v>
      </c>
      <c r="E204" s="23">
        <v>2010</v>
      </c>
      <c r="F204" s="23" t="s">
        <v>357</v>
      </c>
      <c r="G204" s="23" t="s">
        <v>356</v>
      </c>
      <c r="H204" s="23">
        <v>46.88</v>
      </c>
      <c r="I204" s="23">
        <v>-102.79</v>
      </c>
      <c r="J204" s="23">
        <v>735.8</v>
      </c>
      <c r="P204" s="53" t="s">
        <v>181</v>
      </c>
      <c r="Q204" s="53"/>
      <c r="R204" s="53"/>
      <c r="S204" s="53" t="s">
        <v>1640</v>
      </c>
      <c r="T204" s="53" t="s">
        <v>1640</v>
      </c>
      <c r="X204" s="23" t="s">
        <v>175</v>
      </c>
      <c r="AC204" s="23" t="s">
        <v>301</v>
      </c>
      <c r="AD204" s="153" t="str">
        <f t="shared" si="36"/>
        <v>Vetch</v>
      </c>
      <c r="AE204" s="23" t="s">
        <v>287</v>
      </c>
      <c r="AJ204" s="23" t="s">
        <v>275</v>
      </c>
      <c r="AK204" s="23" t="s">
        <v>275</v>
      </c>
      <c r="AL204" s="23" t="s">
        <v>230</v>
      </c>
      <c r="AP204" s="23" t="s">
        <v>154</v>
      </c>
      <c r="AT204" s="23">
        <v>1633</v>
      </c>
      <c r="AW204" s="64" t="s">
        <v>360</v>
      </c>
      <c r="DM204" s="23">
        <v>1677</v>
      </c>
      <c r="DN204" s="23">
        <v>2436</v>
      </c>
      <c r="DS204" s="12"/>
      <c r="DU204" s="15"/>
      <c r="FA204" s="23" t="s">
        <v>850</v>
      </c>
      <c r="FC204" s="23">
        <v>14</v>
      </c>
    </row>
    <row r="205" spans="1:159" s="38" customFormat="1" x14ac:dyDescent="0.25">
      <c r="A205" s="38">
        <v>14</v>
      </c>
      <c r="B205" s="38" t="s">
        <v>354</v>
      </c>
      <c r="C205" s="38" t="s">
        <v>355</v>
      </c>
      <c r="D205" s="38">
        <v>2011</v>
      </c>
      <c r="E205" s="38">
        <v>2010</v>
      </c>
      <c r="F205" s="38" t="s">
        <v>357</v>
      </c>
      <c r="G205" s="38" t="s">
        <v>356</v>
      </c>
      <c r="H205" s="38">
        <v>46.88</v>
      </c>
      <c r="I205" s="38">
        <v>-102.79</v>
      </c>
      <c r="J205" s="38">
        <v>735.8</v>
      </c>
      <c r="P205" s="57" t="s">
        <v>181</v>
      </c>
      <c r="Q205" s="57"/>
      <c r="R205" s="57"/>
      <c r="S205" s="57" t="s">
        <v>1640</v>
      </c>
      <c r="T205" s="57" t="s">
        <v>1640</v>
      </c>
      <c r="X205" s="38" t="s">
        <v>175</v>
      </c>
      <c r="AC205" s="38" t="s">
        <v>1847</v>
      </c>
      <c r="AD205" s="153" t="str">
        <f t="shared" si="36"/>
        <v>Rye_Winter</v>
      </c>
      <c r="AE205" s="38" t="s">
        <v>287</v>
      </c>
      <c r="AJ205" s="38" t="s">
        <v>275</v>
      </c>
      <c r="AK205" s="38" t="s">
        <v>275</v>
      </c>
      <c r="AL205" s="38" t="s">
        <v>230</v>
      </c>
      <c r="AP205" s="38" t="s">
        <v>154</v>
      </c>
      <c r="AT205" s="38">
        <v>4052</v>
      </c>
      <c r="AW205" s="64" t="s">
        <v>358</v>
      </c>
      <c r="DM205" s="23">
        <v>796</v>
      </c>
      <c r="DN205" s="38">
        <v>640</v>
      </c>
      <c r="DS205" s="12"/>
      <c r="DU205" s="15"/>
      <c r="FA205" s="38" t="s">
        <v>850</v>
      </c>
      <c r="FC205" s="38">
        <v>14</v>
      </c>
    </row>
    <row r="206" spans="1:159" s="38" customFormat="1" x14ac:dyDescent="0.25">
      <c r="A206" s="38">
        <v>14</v>
      </c>
      <c r="B206" s="38" t="s">
        <v>354</v>
      </c>
      <c r="C206" s="38" t="s">
        <v>355</v>
      </c>
      <c r="D206" s="38">
        <v>2011</v>
      </c>
      <c r="E206" s="38">
        <v>2010</v>
      </c>
      <c r="F206" s="38" t="s">
        <v>357</v>
      </c>
      <c r="G206" s="38" t="s">
        <v>356</v>
      </c>
      <c r="H206" s="38">
        <v>46.88</v>
      </c>
      <c r="I206" s="38">
        <v>-102.79</v>
      </c>
      <c r="J206" s="38">
        <v>735.8</v>
      </c>
      <c r="P206" s="57" t="s">
        <v>181</v>
      </c>
      <c r="Q206" s="57"/>
      <c r="R206" s="57"/>
      <c r="S206" s="57" t="s">
        <v>1640</v>
      </c>
      <c r="T206" s="57" t="s">
        <v>1640</v>
      </c>
      <c r="X206" s="38" t="s">
        <v>175</v>
      </c>
      <c r="AC206" s="38" t="s">
        <v>1847</v>
      </c>
      <c r="AD206" s="153" t="str">
        <f t="shared" si="36"/>
        <v>Rye_Winter</v>
      </c>
      <c r="AE206" s="38" t="s">
        <v>287</v>
      </c>
      <c r="AJ206" s="38" t="s">
        <v>275</v>
      </c>
      <c r="AK206" s="38" t="s">
        <v>275</v>
      </c>
      <c r="AL206" s="38" t="s">
        <v>230</v>
      </c>
      <c r="AP206" s="38" t="s">
        <v>154</v>
      </c>
      <c r="AT206" s="38">
        <v>4052</v>
      </c>
      <c r="AW206" s="64" t="s">
        <v>359</v>
      </c>
      <c r="DM206" s="23">
        <v>1738</v>
      </c>
      <c r="DN206" s="38">
        <v>640</v>
      </c>
      <c r="DS206" s="12"/>
      <c r="DU206" s="15"/>
      <c r="FA206" s="38" t="s">
        <v>850</v>
      </c>
      <c r="FC206" s="38">
        <v>14</v>
      </c>
    </row>
    <row r="207" spans="1:159" s="38" customFormat="1" x14ac:dyDescent="0.25">
      <c r="A207" s="38">
        <v>14</v>
      </c>
      <c r="B207" s="38" t="s">
        <v>354</v>
      </c>
      <c r="C207" s="38" t="s">
        <v>355</v>
      </c>
      <c r="D207" s="38">
        <v>2011</v>
      </c>
      <c r="E207" s="38">
        <v>2010</v>
      </c>
      <c r="F207" s="38" t="s">
        <v>357</v>
      </c>
      <c r="G207" s="38" t="s">
        <v>356</v>
      </c>
      <c r="H207" s="38">
        <v>46.88</v>
      </c>
      <c r="I207" s="38">
        <v>-102.79</v>
      </c>
      <c r="J207" s="38">
        <v>735.8</v>
      </c>
      <c r="P207" s="57" t="s">
        <v>181</v>
      </c>
      <c r="Q207" s="57"/>
      <c r="R207" s="57"/>
      <c r="S207" s="57" t="s">
        <v>1640</v>
      </c>
      <c r="T207" s="57" t="s">
        <v>1640</v>
      </c>
      <c r="X207" s="38" t="s">
        <v>175</v>
      </c>
      <c r="AC207" s="38" t="s">
        <v>1847</v>
      </c>
      <c r="AD207" s="153" t="str">
        <f t="shared" si="36"/>
        <v>Rye_Winter</v>
      </c>
      <c r="AE207" s="38" t="s">
        <v>287</v>
      </c>
      <c r="AJ207" s="38" t="s">
        <v>275</v>
      </c>
      <c r="AK207" s="38" t="s">
        <v>275</v>
      </c>
      <c r="AL207" s="38" t="s">
        <v>230</v>
      </c>
      <c r="AP207" s="38" t="s">
        <v>154</v>
      </c>
      <c r="AT207" s="38">
        <v>4052</v>
      </c>
      <c r="AW207" s="64" t="s">
        <v>360</v>
      </c>
      <c r="DM207" s="23">
        <v>1677</v>
      </c>
      <c r="DN207" s="38">
        <v>640</v>
      </c>
      <c r="DS207" s="12"/>
      <c r="DU207" s="15"/>
      <c r="FA207" s="38" t="s">
        <v>850</v>
      </c>
      <c r="FC207" s="38">
        <v>14</v>
      </c>
    </row>
    <row r="208" spans="1:159" s="23" customFormat="1" x14ac:dyDescent="0.25">
      <c r="A208" s="23">
        <v>14</v>
      </c>
      <c r="B208" s="23" t="s">
        <v>354</v>
      </c>
      <c r="C208" s="23" t="s">
        <v>355</v>
      </c>
      <c r="D208" s="23">
        <v>2011</v>
      </c>
      <c r="E208" s="23">
        <v>2010</v>
      </c>
      <c r="F208" s="23" t="s">
        <v>357</v>
      </c>
      <c r="G208" s="23" t="s">
        <v>356</v>
      </c>
      <c r="H208" s="23">
        <v>46.88</v>
      </c>
      <c r="I208" s="23">
        <v>-102.79</v>
      </c>
      <c r="J208" s="23">
        <v>735.8</v>
      </c>
      <c r="P208" s="53" t="s">
        <v>181</v>
      </c>
      <c r="Q208" s="53"/>
      <c r="R208" s="53"/>
      <c r="S208" s="53" t="s">
        <v>1640</v>
      </c>
      <c r="T208" s="53" t="s">
        <v>1640</v>
      </c>
      <c r="X208" s="23" t="s">
        <v>175</v>
      </c>
      <c r="AC208" s="23" t="s">
        <v>1811</v>
      </c>
      <c r="AD208" s="153" t="str">
        <f t="shared" si="36"/>
        <v>Winter_wheat</v>
      </c>
      <c r="AE208" s="23" t="s">
        <v>287</v>
      </c>
      <c r="AJ208" s="23" t="s">
        <v>275</v>
      </c>
      <c r="AK208" s="23" t="s">
        <v>275</v>
      </c>
      <c r="AL208" s="23" t="s">
        <v>230</v>
      </c>
      <c r="AP208" s="23" t="s">
        <v>154</v>
      </c>
      <c r="AT208" s="23">
        <v>3821</v>
      </c>
      <c r="AW208" s="64" t="s">
        <v>358</v>
      </c>
      <c r="DM208" s="23">
        <v>796</v>
      </c>
      <c r="DN208" s="23">
        <v>800</v>
      </c>
      <c r="DS208" s="12"/>
      <c r="DU208" s="15"/>
      <c r="FA208" s="23" t="s">
        <v>850</v>
      </c>
      <c r="FC208" s="23">
        <v>14</v>
      </c>
    </row>
    <row r="209" spans="1:159" s="23" customFormat="1" x14ac:dyDescent="0.25">
      <c r="A209" s="23">
        <v>14</v>
      </c>
      <c r="B209" s="23" t="s">
        <v>354</v>
      </c>
      <c r="C209" s="23" t="s">
        <v>355</v>
      </c>
      <c r="D209" s="23">
        <v>2011</v>
      </c>
      <c r="E209" s="23">
        <v>2010</v>
      </c>
      <c r="F209" s="23" t="s">
        <v>357</v>
      </c>
      <c r="G209" s="23" t="s">
        <v>356</v>
      </c>
      <c r="H209" s="23">
        <v>46.88</v>
      </c>
      <c r="I209" s="23">
        <v>-102.79</v>
      </c>
      <c r="J209" s="23">
        <v>735.8</v>
      </c>
      <c r="P209" s="53" t="s">
        <v>181</v>
      </c>
      <c r="Q209" s="53"/>
      <c r="R209" s="53"/>
      <c r="S209" s="53" t="s">
        <v>1640</v>
      </c>
      <c r="T209" s="53" t="s">
        <v>1640</v>
      </c>
      <c r="X209" s="23" t="s">
        <v>175</v>
      </c>
      <c r="AC209" s="23" t="s">
        <v>1811</v>
      </c>
      <c r="AD209" s="153" t="str">
        <f t="shared" si="36"/>
        <v>Winter_wheat</v>
      </c>
      <c r="AE209" s="23" t="s">
        <v>287</v>
      </c>
      <c r="AJ209" s="23" t="s">
        <v>275</v>
      </c>
      <c r="AK209" s="23" t="s">
        <v>275</v>
      </c>
      <c r="AL209" s="23" t="s">
        <v>230</v>
      </c>
      <c r="AP209" s="23" t="s">
        <v>154</v>
      </c>
      <c r="AT209" s="23">
        <v>3821</v>
      </c>
      <c r="AW209" s="64" t="s">
        <v>359</v>
      </c>
      <c r="DM209" s="23">
        <v>1738</v>
      </c>
      <c r="DN209" s="23">
        <v>800</v>
      </c>
      <c r="DS209" s="12"/>
      <c r="DU209" s="15"/>
      <c r="FA209" s="23" t="s">
        <v>850</v>
      </c>
      <c r="FC209" s="23">
        <v>14</v>
      </c>
    </row>
    <row r="210" spans="1:159" s="23" customFormat="1" x14ac:dyDescent="0.25">
      <c r="A210" s="23">
        <v>14</v>
      </c>
      <c r="B210" s="23" t="s">
        <v>354</v>
      </c>
      <c r="C210" s="23" t="s">
        <v>355</v>
      </c>
      <c r="D210" s="23">
        <v>2011</v>
      </c>
      <c r="E210" s="23">
        <v>2010</v>
      </c>
      <c r="F210" s="23" t="s">
        <v>357</v>
      </c>
      <c r="G210" s="23" t="s">
        <v>356</v>
      </c>
      <c r="H210" s="23">
        <v>46.88</v>
      </c>
      <c r="I210" s="23">
        <v>-102.79</v>
      </c>
      <c r="J210" s="23">
        <v>735.8</v>
      </c>
      <c r="P210" s="53" t="s">
        <v>181</v>
      </c>
      <c r="Q210" s="53"/>
      <c r="R210" s="53"/>
      <c r="S210" s="53" t="s">
        <v>1640</v>
      </c>
      <c r="T210" s="53" t="s">
        <v>1640</v>
      </c>
      <c r="X210" s="23" t="s">
        <v>175</v>
      </c>
      <c r="AC210" s="23" t="s">
        <v>1811</v>
      </c>
      <c r="AD210" s="153" t="str">
        <f t="shared" si="36"/>
        <v>Winter_wheat</v>
      </c>
      <c r="AE210" s="23" t="s">
        <v>287</v>
      </c>
      <c r="AJ210" s="23" t="s">
        <v>275</v>
      </c>
      <c r="AK210" s="23" t="s">
        <v>275</v>
      </c>
      <c r="AL210" s="23" t="s">
        <v>230</v>
      </c>
      <c r="AP210" s="23" t="s">
        <v>154</v>
      </c>
      <c r="AT210" s="23">
        <v>3821</v>
      </c>
      <c r="AW210" s="64" t="s">
        <v>360</v>
      </c>
      <c r="DM210" s="23">
        <v>1677</v>
      </c>
      <c r="DN210" s="23">
        <v>800</v>
      </c>
      <c r="DS210" s="12"/>
      <c r="DU210" s="15"/>
      <c r="FA210" s="23" t="s">
        <v>850</v>
      </c>
      <c r="FC210" s="23">
        <v>14</v>
      </c>
    </row>
    <row r="211" spans="1:159" s="38" customFormat="1" x14ac:dyDescent="0.25">
      <c r="A211" s="38">
        <v>14</v>
      </c>
      <c r="B211" s="38" t="s">
        <v>354</v>
      </c>
      <c r="C211" s="38" t="s">
        <v>355</v>
      </c>
      <c r="D211" s="38">
        <v>2011</v>
      </c>
      <c r="E211" s="38">
        <v>2010</v>
      </c>
      <c r="F211" s="38" t="s">
        <v>357</v>
      </c>
      <c r="G211" s="38" t="s">
        <v>356</v>
      </c>
      <c r="H211" s="38">
        <v>46.88</v>
      </c>
      <c r="I211" s="38">
        <v>-102.79</v>
      </c>
      <c r="J211" s="38">
        <v>735.8</v>
      </c>
      <c r="P211" s="57" t="s">
        <v>181</v>
      </c>
      <c r="Q211" s="57"/>
      <c r="R211" s="57"/>
      <c r="S211" s="57" t="s">
        <v>1640</v>
      </c>
      <c r="T211" s="57" t="s">
        <v>1640</v>
      </c>
      <c r="X211" s="38" t="s">
        <v>175</v>
      </c>
      <c r="AC211" s="38" t="s">
        <v>1858</v>
      </c>
      <c r="AD211" s="153" t="str">
        <f t="shared" si="36"/>
        <v>Vetch/Rye</v>
      </c>
      <c r="AE211" s="38" t="s">
        <v>287</v>
      </c>
      <c r="AJ211" s="38" t="s">
        <v>275</v>
      </c>
      <c r="AK211" s="38" t="s">
        <v>275</v>
      </c>
      <c r="AL211" s="38" t="s">
        <v>230</v>
      </c>
      <c r="AP211" s="38" t="s">
        <v>154</v>
      </c>
      <c r="AT211" s="38">
        <v>4039</v>
      </c>
      <c r="AW211" s="64" t="s">
        <v>358</v>
      </c>
      <c r="DM211" s="23">
        <v>796</v>
      </c>
      <c r="DN211" s="38">
        <v>717</v>
      </c>
      <c r="DS211" s="12"/>
      <c r="DU211" s="15"/>
      <c r="FA211" s="38" t="s">
        <v>850</v>
      </c>
      <c r="FC211" s="38">
        <v>14</v>
      </c>
    </row>
    <row r="212" spans="1:159" s="38" customFormat="1" x14ac:dyDescent="0.25">
      <c r="A212" s="38">
        <v>14</v>
      </c>
      <c r="B212" s="38" t="s">
        <v>354</v>
      </c>
      <c r="C212" s="38" t="s">
        <v>355</v>
      </c>
      <c r="D212" s="38">
        <v>2011</v>
      </c>
      <c r="E212" s="38">
        <v>2010</v>
      </c>
      <c r="F212" s="38" t="s">
        <v>357</v>
      </c>
      <c r="G212" s="38" t="s">
        <v>356</v>
      </c>
      <c r="H212" s="38">
        <v>46.88</v>
      </c>
      <c r="I212" s="38">
        <v>-102.79</v>
      </c>
      <c r="J212" s="38">
        <v>735.8</v>
      </c>
      <c r="P212" s="57" t="s">
        <v>181</v>
      </c>
      <c r="Q212" s="57"/>
      <c r="R212" s="57"/>
      <c r="S212" s="57" t="s">
        <v>1640</v>
      </c>
      <c r="T212" s="57" t="s">
        <v>1640</v>
      </c>
      <c r="X212" s="38" t="s">
        <v>175</v>
      </c>
      <c r="AC212" s="38" t="s">
        <v>1858</v>
      </c>
      <c r="AD212" s="153" t="str">
        <f t="shared" si="36"/>
        <v>Vetch/Rye</v>
      </c>
      <c r="AE212" s="38" t="s">
        <v>287</v>
      </c>
      <c r="AJ212" s="38" t="s">
        <v>275</v>
      </c>
      <c r="AK212" s="38" t="s">
        <v>275</v>
      </c>
      <c r="AL212" s="38" t="s">
        <v>230</v>
      </c>
      <c r="AP212" s="38" t="s">
        <v>154</v>
      </c>
      <c r="AT212" s="38">
        <v>4039</v>
      </c>
      <c r="AW212" s="64" t="s">
        <v>359</v>
      </c>
      <c r="DM212" s="23">
        <v>1738</v>
      </c>
      <c r="DN212" s="38">
        <v>717</v>
      </c>
      <c r="DS212" s="12"/>
      <c r="DU212" s="15"/>
      <c r="FA212" s="38" t="s">
        <v>850</v>
      </c>
      <c r="FC212" s="38">
        <v>14</v>
      </c>
    </row>
    <row r="213" spans="1:159" s="38" customFormat="1" x14ac:dyDescent="0.25">
      <c r="A213" s="38">
        <v>14</v>
      </c>
      <c r="B213" s="38" t="s">
        <v>354</v>
      </c>
      <c r="C213" s="38" t="s">
        <v>355</v>
      </c>
      <c r="D213" s="38">
        <v>2011</v>
      </c>
      <c r="E213" s="38">
        <v>2010</v>
      </c>
      <c r="F213" s="38" t="s">
        <v>357</v>
      </c>
      <c r="G213" s="38" t="s">
        <v>356</v>
      </c>
      <c r="H213" s="38">
        <v>46.88</v>
      </c>
      <c r="I213" s="38">
        <v>-102.79</v>
      </c>
      <c r="J213" s="38">
        <v>735.8</v>
      </c>
      <c r="P213" s="57" t="s">
        <v>181</v>
      </c>
      <c r="Q213" s="57"/>
      <c r="R213" s="57"/>
      <c r="S213" s="57" t="s">
        <v>1640</v>
      </c>
      <c r="T213" s="57" t="s">
        <v>1640</v>
      </c>
      <c r="X213" s="38" t="s">
        <v>175</v>
      </c>
      <c r="AC213" s="38" t="s">
        <v>1858</v>
      </c>
      <c r="AD213" s="153" t="str">
        <f t="shared" si="36"/>
        <v>Vetch/Rye</v>
      </c>
      <c r="AE213" s="38" t="s">
        <v>287</v>
      </c>
      <c r="AJ213" s="38" t="s">
        <v>275</v>
      </c>
      <c r="AK213" s="38" t="s">
        <v>275</v>
      </c>
      <c r="AL213" s="38" t="s">
        <v>230</v>
      </c>
      <c r="AP213" s="38" t="s">
        <v>154</v>
      </c>
      <c r="AT213" s="38">
        <v>4039</v>
      </c>
      <c r="AW213" s="64" t="s">
        <v>360</v>
      </c>
      <c r="DM213" s="23">
        <v>1677</v>
      </c>
      <c r="DN213" s="38">
        <v>717</v>
      </c>
      <c r="DS213" s="12"/>
      <c r="DU213" s="15"/>
      <c r="FA213" s="38" t="s">
        <v>850</v>
      </c>
      <c r="FC213" s="38">
        <v>14</v>
      </c>
    </row>
    <row r="214" spans="1:159" s="23" customFormat="1" x14ac:dyDescent="0.25">
      <c r="A214" s="23">
        <v>14</v>
      </c>
      <c r="B214" s="23" t="s">
        <v>354</v>
      </c>
      <c r="C214" s="23" t="s">
        <v>355</v>
      </c>
      <c r="D214" s="23">
        <v>2011</v>
      </c>
      <c r="E214" s="23">
        <v>2010</v>
      </c>
      <c r="F214" s="23" t="s">
        <v>357</v>
      </c>
      <c r="G214" s="23" t="s">
        <v>356</v>
      </c>
      <c r="H214" s="23">
        <v>46.88</v>
      </c>
      <c r="I214" s="23">
        <v>-102.79</v>
      </c>
      <c r="J214" s="23">
        <v>735.8</v>
      </c>
      <c r="P214" s="53" t="s">
        <v>181</v>
      </c>
      <c r="Q214" s="53"/>
      <c r="R214" s="53"/>
      <c r="S214" s="53" t="s">
        <v>1640</v>
      </c>
      <c r="T214" s="53" t="s">
        <v>1640</v>
      </c>
      <c r="X214" s="23" t="s">
        <v>175</v>
      </c>
      <c r="AC214" s="23" t="s">
        <v>1858</v>
      </c>
      <c r="AD214" s="153" t="str">
        <f t="shared" si="36"/>
        <v>Vetch/Rye</v>
      </c>
      <c r="AE214" s="23" t="s">
        <v>287</v>
      </c>
      <c r="AJ214" s="23" t="s">
        <v>275</v>
      </c>
      <c r="AK214" s="23" t="s">
        <v>275</v>
      </c>
      <c r="AL214" s="23" t="s">
        <v>230</v>
      </c>
      <c r="AP214" s="23" t="s">
        <v>154</v>
      </c>
      <c r="AT214" s="23">
        <v>3554</v>
      </c>
      <c r="AW214" s="64" t="s">
        <v>358</v>
      </c>
      <c r="DM214" s="23">
        <v>796</v>
      </c>
      <c r="DN214" s="23">
        <v>991</v>
      </c>
      <c r="DS214" s="12"/>
      <c r="DU214" s="15"/>
      <c r="FA214" s="23" t="s">
        <v>850</v>
      </c>
      <c r="FC214" s="23">
        <v>14</v>
      </c>
    </row>
    <row r="215" spans="1:159" s="23" customFormat="1" x14ac:dyDescent="0.25">
      <c r="A215" s="23">
        <v>14</v>
      </c>
      <c r="B215" s="23" t="s">
        <v>354</v>
      </c>
      <c r="C215" s="23" t="s">
        <v>355</v>
      </c>
      <c r="D215" s="23">
        <v>2011</v>
      </c>
      <c r="E215" s="23">
        <v>2010</v>
      </c>
      <c r="F215" s="23" t="s">
        <v>357</v>
      </c>
      <c r="G215" s="23" t="s">
        <v>356</v>
      </c>
      <c r="H215" s="23">
        <v>46.88</v>
      </c>
      <c r="I215" s="23">
        <v>-102.79</v>
      </c>
      <c r="J215" s="23">
        <v>735.8</v>
      </c>
      <c r="P215" s="53" t="s">
        <v>181</v>
      </c>
      <c r="Q215" s="53"/>
      <c r="R215" s="53"/>
      <c r="S215" s="53" t="s">
        <v>1640</v>
      </c>
      <c r="T215" s="53" t="s">
        <v>1640</v>
      </c>
      <c r="X215" s="23" t="s">
        <v>175</v>
      </c>
      <c r="AC215" s="23" t="s">
        <v>1858</v>
      </c>
      <c r="AD215" s="153" t="str">
        <f t="shared" si="36"/>
        <v>Vetch/Rye</v>
      </c>
      <c r="AE215" s="23" t="s">
        <v>287</v>
      </c>
      <c r="AJ215" s="23" t="s">
        <v>275</v>
      </c>
      <c r="AK215" s="23" t="s">
        <v>275</v>
      </c>
      <c r="AL215" s="23" t="s">
        <v>230</v>
      </c>
      <c r="AP215" s="23" t="s">
        <v>154</v>
      </c>
      <c r="AT215" s="23">
        <v>3554</v>
      </c>
      <c r="AW215" s="64" t="s">
        <v>359</v>
      </c>
      <c r="DM215" s="23">
        <v>1738</v>
      </c>
      <c r="DN215" s="23">
        <v>991</v>
      </c>
      <c r="DS215" s="12"/>
      <c r="DU215" s="15"/>
      <c r="FA215" s="23" t="s">
        <v>850</v>
      </c>
      <c r="FC215" s="23">
        <v>14</v>
      </c>
    </row>
    <row r="216" spans="1:159" s="23" customFormat="1" x14ac:dyDescent="0.25">
      <c r="A216" s="23">
        <v>14</v>
      </c>
      <c r="B216" s="23" t="s">
        <v>354</v>
      </c>
      <c r="C216" s="23" t="s">
        <v>355</v>
      </c>
      <c r="D216" s="23">
        <v>2011</v>
      </c>
      <c r="E216" s="23">
        <v>2010</v>
      </c>
      <c r="F216" s="23" t="s">
        <v>357</v>
      </c>
      <c r="G216" s="23" t="s">
        <v>356</v>
      </c>
      <c r="H216" s="23">
        <v>46.88</v>
      </c>
      <c r="I216" s="23">
        <v>-102.79</v>
      </c>
      <c r="J216" s="23">
        <v>735.8</v>
      </c>
      <c r="P216" s="53" t="s">
        <v>181</v>
      </c>
      <c r="Q216" s="53"/>
      <c r="R216" s="53"/>
      <c r="S216" s="53" t="s">
        <v>1640</v>
      </c>
      <c r="T216" s="53" t="s">
        <v>1640</v>
      </c>
      <c r="X216" s="23" t="s">
        <v>175</v>
      </c>
      <c r="AC216" s="23" t="s">
        <v>1858</v>
      </c>
      <c r="AD216" s="153" t="str">
        <f t="shared" si="36"/>
        <v>Vetch/Rye</v>
      </c>
      <c r="AE216" s="23" t="s">
        <v>287</v>
      </c>
      <c r="AJ216" s="23" t="s">
        <v>275</v>
      </c>
      <c r="AK216" s="23" t="s">
        <v>275</v>
      </c>
      <c r="AL216" s="23" t="s">
        <v>230</v>
      </c>
      <c r="AP216" s="23" t="s">
        <v>154</v>
      </c>
      <c r="AT216" s="23">
        <v>3554</v>
      </c>
      <c r="AW216" s="64" t="s">
        <v>360</v>
      </c>
      <c r="DM216" s="23">
        <v>1677</v>
      </c>
      <c r="DN216" s="23">
        <v>991</v>
      </c>
      <c r="DS216" s="12"/>
      <c r="DU216" s="15"/>
      <c r="FA216" s="23" t="s">
        <v>850</v>
      </c>
      <c r="FC216" s="23">
        <v>14</v>
      </c>
    </row>
    <row r="217" spans="1:159" s="26" customFormat="1" x14ac:dyDescent="0.25">
      <c r="A217" s="26">
        <v>15</v>
      </c>
      <c r="B217" s="26" t="s">
        <v>361</v>
      </c>
      <c r="C217" s="26" t="s">
        <v>362</v>
      </c>
      <c r="D217" s="26">
        <v>2005</v>
      </c>
      <c r="E217" s="26">
        <v>2001</v>
      </c>
      <c r="F217" s="26" t="s">
        <v>363</v>
      </c>
      <c r="G217" s="26" t="s">
        <v>364</v>
      </c>
      <c r="H217" s="26">
        <f>40+44/60</f>
        <v>40.733333333333334</v>
      </c>
      <c r="I217" s="26">
        <f>-77-57/60</f>
        <v>-77.95</v>
      </c>
      <c r="J217" s="26">
        <v>375.2</v>
      </c>
      <c r="P217" s="52" t="s">
        <v>179</v>
      </c>
      <c r="Q217" s="52"/>
      <c r="R217" s="52"/>
      <c r="S217" s="52" t="s">
        <v>1653</v>
      </c>
      <c r="T217" s="52" t="s">
        <v>1653</v>
      </c>
      <c r="X217" s="26" t="s">
        <v>168</v>
      </c>
      <c r="AB217" s="26" t="s">
        <v>1555</v>
      </c>
      <c r="AC217" s="26" t="s">
        <v>166</v>
      </c>
      <c r="AD217" s="153" t="str">
        <f t="shared" si="36"/>
        <v>Rye</v>
      </c>
      <c r="AE217" s="26" t="s">
        <v>167</v>
      </c>
      <c r="AJ217" s="26" t="s">
        <v>275</v>
      </c>
      <c r="AK217" s="26" t="s">
        <v>275</v>
      </c>
      <c r="AL217" s="26" t="s">
        <v>230</v>
      </c>
      <c r="AM217" s="26" t="s">
        <v>365</v>
      </c>
      <c r="AN217" s="26" t="s">
        <v>365</v>
      </c>
      <c r="AO217" s="26" t="s">
        <v>230</v>
      </c>
      <c r="AQ217" s="26">
        <v>4</v>
      </c>
      <c r="AR217" s="26">
        <v>4</v>
      </c>
      <c r="AS217" s="26" t="s">
        <v>227</v>
      </c>
      <c r="AU217" s="26">
        <f>1143</f>
        <v>1143</v>
      </c>
      <c r="AW217" s="63"/>
      <c r="AX217" s="26" t="s">
        <v>366</v>
      </c>
      <c r="BB217" s="26">
        <f>11.51*1000</f>
        <v>11510</v>
      </c>
      <c r="BC217" s="26">
        <f>12.2*1000</f>
        <v>12200</v>
      </c>
      <c r="BE217" s="26">
        <v>1.48</v>
      </c>
      <c r="BF217" s="26">
        <v>1.48</v>
      </c>
      <c r="DM217" s="26">
        <f>9.9*10</f>
        <v>99</v>
      </c>
      <c r="DN217" s="26">
        <f>1.3*10</f>
        <v>13</v>
      </c>
      <c r="DO217" s="26" t="s">
        <v>387</v>
      </c>
      <c r="DS217" s="12"/>
      <c r="DU217" s="15"/>
      <c r="FC217" s="26">
        <v>15</v>
      </c>
    </row>
    <row r="218" spans="1:159" s="26" customFormat="1" x14ac:dyDescent="0.25">
      <c r="A218" s="26">
        <v>15</v>
      </c>
      <c r="B218" s="26" t="s">
        <v>361</v>
      </c>
      <c r="C218" s="26" t="s">
        <v>362</v>
      </c>
      <c r="D218" s="26">
        <v>2005</v>
      </c>
      <c r="E218" s="26">
        <v>2001</v>
      </c>
      <c r="F218" s="26" t="s">
        <v>363</v>
      </c>
      <c r="G218" s="26" t="s">
        <v>364</v>
      </c>
      <c r="H218" s="26">
        <f>40+44/60</f>
        <v>40.733333333333334</v>
      </c>
      <c r="I218" s="26">
        <f>-77-57/60</f>
        <v>-77.95</v>
      </c>
      <c r="J218" s="26">
        <v>375.2</v>
      </c>
      <c r="P218" s="52" t="s">
        <v>179</v>
      </c>
      <c r="Q218" s="52"/>
      <c r="R218" s="52"/>
      <c r="S218" s="52" t="s">
        <v>1653</v>
      </c>
      <c r="T218" s="52" t="s">
        <v>1653</v>
      </c>
      <c r="X218" s="26" t="s">
        <v>168</v>
      </c>
      <c r="AB218" s="26" t="s">
        <v>1555</v>
      </c>
      <c r="AC218" s="26" t="s">
        <v>166</v>
      </c>
      <c r="AD218" s="153" t="str">
        <f t="shared" si="36"/>
        <v>Rye</v>
      </c>
      <c r="AE218" s="26" t="s">
        <v>167</v>
      </c>
      <c r="AJ218" s="26" t="s">
        <v>275</v>
      </c>
      <c r="AK218" s="26" t="s">
        <v>275</v>
      </c>
      <c r="AL218" s="26" t="s">
        <v>230</v>
      </c>
      <c r="AM218" s="26" t="s">
        <v>365</v>
      </c>
      <c r="AN218" s="26" t="s">
        <v>365</v>
      </c>
      <c r="AO218" s="26" t="s">
        <v>230</v>
      </c>
      <c r="AQ218" s="26">
        <v>4</v>
      </c>
      <c r="AR218" s="26">
        <v>4</v>
      </c>
      <c r="AS218" s="26" t="s">
        <v>227</v>
      </c>
      <c r="AU218" s="26">
        <v>1833</v>
      </c>
      <c r="AW218" s="63"/>
      <c r="AX218" s="26" t="s">
        <v>367</v>
      </c>
      <c r="BB218" s="26">
        <f>11.4*1000</f>
        <v>11400</v>
      </c>
      <c r="BC218" s="26">
        <f>11.87*1000</f>
        <v>11870</v>
      </c>
      <c r="BE218" s="26">
        <v>1.48</v>
      </c>
      <c r="BF218" s="26">
        <v>1.4</v>
      </c>
      <c r="DM218" s="26">
        <f>0.4*10</f>
        <v>4</v>
      </c>
      <c r="DN218" s="26">
        <f>1.5*10</f>
        <v>15</v>
      </c>
      <c r="DO218" s="26" t="s">
        <v>387</v>
      </c>
      <c r="DS218" s="12"/>
      <c r="DU218" s="15"/>
      <c r="FC218" s="26">
        <v>15</v>
      </c>
    </row>
    <row r="219" spans="1:159" s="39" customFormat="1" x14ac:dyDescent="0.25">
      <c r="A219" s="39">
        <v>15</v>
      </c>
      <c r="B219" s="39" t="s">
        <v>361</v>
      </c>
      <c r="C219" s="39" t="s">
        <v>362</v>
      </c>
      <c r="D219" s="39">
        <v>2005</v>
      </c>
      <c r="E219" s="39">
        <v>2002</v>
      </c>
      <c r="F219" s="39" t="s">
        <v>363</v>
      </c>
      <c r="G219" s="39" t="s">
        <v>364</v>
      </c>
      <c r="H219" s="39">
        <v>40.733333333333334</v>
      </c>
      <c r="I219" s="39">
        <v>-77.95</v>
      </c>
      <c r="J219" s="39">
        <v>375.2</v>
      </c>
      <c r="P219" s="58" t="s">
        <v>180</v>
      </c>
      <c r="Q219" s="58"/>
      <c r="R219" s="58"/>
      <c r="S219" s="58" t="s">
        <v>1653</v>
      </c>
      <c r="T219" s="58" t="s">
        <v>1653</v>
      </c>
      <c r="X219" s="39" t="s">
        <v>168</v>
      </c>
      <c r="AB219" s="39" t="s">
        <v>1555</v>
      </c>
      <c r="AC219" s="39" t="s">
        <v>166</v>
      </c>
      <c r="AD219" s="153" t="str">
        <f t="shared" si="36"/>
        <v>Rye</v>
      </c>
      <c r="AE219" s="39" t="s">
        <v>167</v>
      </c>
      <c r="AJ219" s="39" t="s">
        <v>275</v>
      </c>
      <c r="AK219" s="39" t="s">
        <v>275</v>
      </c>
      <c r="AL219" s="39" t="s">
        <v>230</v>
      </c>
      <c r="AM219" s="39" t="s">
        <v>365</v>
      </c>
      <c r="AN219" s="39" t="s">
        <v>365</v>
      </c>
      <c r="AO219" s="39" t="s">
        <v>230</v>
      </c>
      <c r="AQ219" s="39">
        <v>4</v>
      </c>
      <c r="AR219" s="39">
        <v>4</v>
      </c>
      <c r="AS219" s="39" t="s">
        <v>227</v>
      </c>
      <c r="AW219" s="63"/>
      <c r="AX219" s="39" t="s">
        <v>366</v>
      </c>
      <c r="BB219" s="39">
        <f>7.55*1000</f>
        <v>7550</v>
      </c>
      <c r="BC219" s="39">
        <f>8.71*1000</f>
        <v>8710</v>
      </c>
      <c r="DM219" s="39">
        <f>2.5*10</f>
        <v>25</v>
      </c>
      <c r="DN219" s="39">
        <f>2.8*10</f>
        <v>28</v>
      </c>
      <c r="DO219" s="26" t="s">
        <v>387</v>
      </c>
      <c r="DS219" s="12"/>
      <c r="DU219" s="15"/>
      <c r="FC219" s="39">
        <v>15</v>
      </c>
    </row>
    <row r="220" spans="1:159" s="39" customFormat="1" x14ac:dyDescent="0.25">
      <c r="A220" s="39">
        <v>15</v>
      </c>
      <c r="B220" s="39" t="s">
        <v>361</v>
      </c>
      <c r="C220" s="39" t="s">
        <v>362</v>
      </c>
      <c r="D220" s="39">
        <v>2005</v>
      </c>
      <c r="E220" s="39">
        <v>2002</v>
      </c>
      <c r="F220" s="39" t="s">
        <v>363</v>
      </c>
      <c r="G220" s="39" t="s">
        <v>364</v>
      </c>
      <c r="H220" s="39">
        <v>40.733333333333334</v>
      </c>
      <c r="I220" s="39">
        <v>-77.95</v>
      </c>
      <c r="J220" s="39">
        <v>375.2</v>
      </c>
      <c r="P220" s="58" t="s">
        <v>180</v>
      </c>
      <c r="Q220" s="58"/>
      <c r="R220" s="58"/>
      <c r="S220" s="58" t="s">
        <v>1653</v>
      </c>
      <c r="T220" s="58" t="s">
        <v>1653</v>
      </c>
      <c r="X220" s="39" t="s">
        <v>168</v>
      </c>
      <c r="AB220" s="39" t="s">
        <v>1555</v>
      </c>
      <c r="AC220" s="39" t="s">
        <v>166</v>
      </c>
      <c r="AD220" s="153" t="str">
        <f t="shared" si="36"/>
        <v>Rye</v>
      </c>
      <c r="AE220" s="39" t="s">
        <v>167</v>
      </c>
      <c r="AJ220" s="39" t="s">
        <v>275</v>
      </c>
      <c r="AK220" s="39" t="s">
        <v>275</v>
      </c>
      <c r="AL220" s="39" t="s">
        <v>230</v>
      </c>
      <c r="AM220" s="39" t="s">
        <v>365</v>
      </c>
      <c r="AN220" s="39" t="s">
        <v>365</v>
      </c>
      <c r="AO220" s="39" t="s">
        <v>230</v>
      </c>
      <c r="AQ220" s="39">
        <v>4</v>
      </c>
      <c r="AR220" s="39">
        <v>4</v>
      </c>
      <c r="AS220" s="39" t="s">
        <v>227</v>
      </c>
      <c r="AU220" s="39">
        <v>3740</v>
      </c>
      <c r="AW220" s="63"/>
      <c r="AX220" s="39" t="s">
        <v>367</v>
      </c>
      <c r="BB220" s="39">
        <f>8.97*1000</f>
        <v>8970</v>
      </c>
      <c r="BC220" s="39">
        <f>7.66*1000</f>
        <v>7660</v>
      </c>
      <c r="DM220" s="39">
        <f>2.5*10</f>
        <v>25</v>
      </c>
      <c r="DN220" s="39">
        <f>3*10</f>
        <v>30</v>
      </c>
      <c r="DO220" s="26" t="s">
        <v>387</v>
      </c>
      <c r="DS220" s="12"/>
      <c r="DU220" s="15"/>
      <c r="FC220" s="39">
        <v>15</v>
      </c>
    </row>
    <row r="221" spans="1:159" s="26" customFormat="1" x14ac:dyDescent="0.25">
      <c r="A221" s="26">
        <v>15</v>
      </c>
      <c r="B221" s="26" t="s">
        <v>361</v>
      </c>
      <c r="C221" s="26" t="s">
        <v>362</v>
      </c>
      <c r="D221" s="26">
        <v>2005</v>
      </c>
      <c r="E221" s="26">
        <v>2003</v>
      </c>
      <c r="F221" s="26" t="s">
        <v>363</v>
      </c>
      <c r="G221" s="26" t="s">
        <v>364</v>
      </c>
      <c r="H221" s="26">
        <f>40+44/60</f>
        <v>40.733333333333334</v>
      </c>
      <c r="I221" s="26">
        <f>-77-57/60</f>
        <v>-77.95</v>
      </c>
      <c r="J221" s="26">
        <v>375.2</v>
      </c>
      <c r="P221" s="52" t="s">
        <v>181</v>
      </c>
      <c r="Q221" s="52"/>
      <c r="R221" s="52"/>
      <c r="S221" s="52" t="s">
        <v>1653</v>
      </c>
      <c r="T221" s="52" t="s">
        <v>1653</v>
      </c>
      <c r="X221" s="26" t="s">
        <v>168</v>
      </c>
      <c r="AB221" s="26" t="s">
        <v>1555</v>
      </c>
      <c r="AC221" s="26" t="s">
        <v>166</v>
      </c>
      <c r="AD221" s="153" t="str">
        <f t="shared" si="36"/>
        <v>Rye</v>
      </c>
      <c r="AE221" s="26" t="s">
        <v>167</v>
      </c>
      <c r="AJ221" s="26" t="s">
        <v>275</v>
      </c>
      <c r="AK221" s="26" t="s">
        <v>275</v>
      </c>
      <c r="AL221" s="26" t="s">
        <v>230</v>
      </c>
      <c r="AM221" s="26" t="s">
        <v>365</v>
      </c>
      <c r="AN221" s="26" t="s">
        <v>365</v>
      </c>
      <c r="AO221" s="26" t="s">
        <v>230</v>
      </c>
      <c r="AQ221" s="26">
        <v>4</v>
      </c>
      <c r="AR221" s="26">
        <v>4</v>
      </c>
      <c r="AS221" s="26" t="s">
        <v>227</v>
      </c>
      <c r="AU221" s="26">
        <v>1568</v>
      </c>
      <c r="AW221" s="63"/>
      <c r="AX221" s="26" t="s">
        <v>366</v>
      </c>
      <c r="BB221" s="26">
        <f>9.94*1000</f>
        <v>9940</v>
      </c>
      <c r="BC221" s="26">
        <f>9.97*1000</f>
        <v>9970</v>
      </c>
      <c r="DM221" s="26">
        <f>8.8*10</f>
        <v>88</v>
      </c>
      <c r="DN221" s="26">
        <f>8.9*10</f>
        <v>89</v>
      </c>
      <c r="DO221" s="26" t="s">
        <v>387</v>
      </c>
      <c r="DS221" s="12"/>
      <c r="DU221" s="15"/>
      <c r="FC221" s="26">
        <v>15</v>
      </c>
    </row>
    <row r="222" spans="1:159" s="26" customFormat="1" x14ac:dyDescent="0.25">
      <c r="A222" s="26">
        <v>15</v>
      </c>
      <c r="B222" s="26" t="s">
        <v>361</v>
      </c>
      <c r="C222" s="26" t="s">
        <v>362</v>
      </c>
      <c r="D222" s="26">
        <v>2005</v>
      </c>
      <c r="E222" s="26">
        <v>2003</v>
      </c>
      <c r="F222" s="26" t="s">
        <v>363</v>
      </c>
      <c r="G222" s="26" t="s">
        <v>364</v>
      </c>
      <c r="H222" s="26">
        <f>40+44/60</f>
        <v>40.733333333333334</v>
      </c>
      <c r="I222" s="26">
        <f>-77-57/60</f>
        <v>-77.95</v>
      </c>
      <c r="J222" s="26">
        <v>375.2</v>
      </c>
      <c r="P222" s="52" t="s">
        <v>181</v>
      </c>
      <c r="Q222" s="52"/>
      <c r="R222" s="52"/>
      <c r="S222" s="52" t="s">
        <v>1653</v>
      </c>
      <c r="T222" s="52" t="s">
        <v>1653</v>
      </c>
      <c r="X222" s="26" t="s">
        <v>168</v>
      </c>
      <c r="AB222" s="26" t="s">
        <v>1555</v>
      </c>
      <c r="AC222" s="26" t="s">
        <v>166</v>
      </c>
      <c r="AD222" s="153" t="str">
        <f t="shared" si="36"/>
        <v>Rye</v>
      </c>
      <c r="AE222" s="26" t="s">
        <v>167</v>
      </c>
      <c r="AJ222" s="26" t="s">
        <v>275</v>
      </c>
      <c r="AK222" s="26" t="s">
        <v>275</v>
      </c>
      <c r="AL222" s="26" t="s">
        <v>230</v>
      </c>
      <c r="AM222" s="26" t="s">
        <v>365</v>
      </c>
      <c r="AN222" s="26" t="s">
        <v>365</v>
      </c>
      <c r="AO222" s="26" t="s">
        <v>230</v>
      </c>
      <c r="AQ222" s="26">
        <v>4</v>
      </c>
      <c r="AR222" s="26">
        <v>4</v>
      </c>
      <c r="AS222" s="26" t="s">
        <v>227</v>
      </c>
      <c r="AU222" s="26">
        <v>7075</v>
      </c>
      <c r="AW222" s="63"/>
      <c r="AX222" s="26" t="s">
        <v>367</v>
      </c>
      <c r="BB222" s="26">
        <f>8.81*1000</f>
        <v>8810</v>
      </c>
      <c r="BC222" s="26">
        <f>9.69*1000</f>
        <v>9690</v>
      </c>
      <c r="DM222" s="26">
        <f>11.8*10</f>
        <v>118</v>
      </c>
      <c r="DN222" s="26">
        <f>7.6*10</f>
        <v>76</v>
      </c>
      <c r="DO222" s="26" t="s">
        <v>387</v>
      </c>
      <c r="DS222" s="12"/>
      <c r="DU222" s="15"/>
      <c r="FC222" s="26">
        <v>15</v>
      </c>
    </row>
    <row r="223" spans="1:159" s="38" customFormat="1" x14ac:dyDescent="0.25">
      <c r="A223" s="38">
        <v>16</v>
      </c>
      <c r="B223" s="38" t="s">
        <v>368</v>
      </c>
      <c r="C223" s="38" t="s">
        <v>369</v>
      </c>
      <c r="D223" s="38">
        <v>1998</v>
      </c>
      <c r="E223" s="38">
        <v>1996</v>
      </c>
      <c r="F223" s="38" t="s">
        <v>370</v>
      </c>
      <c r="G223" s="38" t="s">
        <v>371</v>
      </c>
      <c r="H223" s="38">
        <v>37.200000000000003</v>
      </c>
      <c r="I223" s="38">
        <v>-80.56</v>
      </c>
      <c r="J223" s="38">
        <v>505</v>
      </c>
      <c r="P223" s="57" t="s">
        <v>179</v>
      </c>
      <c r="Q223" s="57"/>
      <c r="R223" s="57"/>
      <c r="S223" s="57" t="s">
        <v>1647</v>
      </c>
      <c r="T223" s="57" t="s">
        <v>1647</v>
      </c>
      <c r="U223" s="38">
        <f>(1.76+1.67)/2</f>
        <v>1.7149999999999999</v>
      </c>
      <c r="X223" s="38" t="s">
        <v>168</v>
      </c>
      <c r="AB223" s="38" t="s">
        <v>1556</v>
      </c>
      <c r="AC223" s="38" t="s">
        <v>1800</v>
      </c>
      <c r="AD223" s="153" t="str">
        <f t="shared" si="36"/>
        <v>Rye/Desiccated</v>
      </c>
      <c r="AE223" s="38" t="s">
        <v>287</v>
      </c>
      <c r="AJ223" s="38" t="s">
        <v>372</v>
      </c>
      <c r="AK223" s="38" t="s">
        <v>372</v>
      </c>
      <c r="AL223" s="38" t="s">
        <v>230</v>
      </c>
      <c r="AM223" s="38" t="s">
        <v>373</v>
      </c>
      <c r="AN223" s="38" t="s">
        <v>373</v>
      </c>
      <c r="AP223" s="38" t="s">
        <v>374</v>
      </c>
      <c r="AQ223" s="38">
        <v>4</v>
      </c>
      <c r="AR223" s="38">
        <v>4</v>
      </c>
      <c r="AS223" s="38" t="s">
        <v>177</v>
      </c>
      <c r="AW223" s="64"/>
      <c r="AX223" s="38" t="s">
        <v>378</v>
      </c>
      <c r="BE223" s="38">
        <f>(1.23+1.37+1.44+1.46)/4</f>
        <v>1.375</v>
      </c>
      <c r="BF223" s="38">
        <f>(1.25+1.33+1.37+1.41)/4</f>
        <v>1.34</v>
      </c>
      <c r="CI223" s="38">
        <f>(24.4+14.9+11.6+10.4)/4</f>
        <v>15.324999999999999</v>
      </c>
      <c r="CJ223" s="38">
        <f>(22.9+17.1+13.9+12.2)/4</f>
        <v>16.524999999999999</v>
      </c>
      <c r="CK223" s="38" t="s">
        <v>376</v>
      </c>
      <c r="CL223" s="38">
        <f>(29.1+33.3+34+34.7)/4</f>
        <v>32.775000000000006</v>
      </c>
      <c r="CM223" s="38">
        <f>(30.1+32.6+34.2+34.7)/4</f>
        <v>32.900000000000006</v>
      </c>
      <c r="CN223" s="38" t="s">
        <v>375</v>
      </c>
      <c r="CR223" s="38">
        <f>(76+22.2+2+1.5)/4</f>
        <v>25.425000000000001</v>
      </c>
      <c r="CS223" s="38">
        <f>(92.9+24.3+8.3+5.4)/4</f>
        <v>32.725000000000001</v>
      </c>
      <c r="DG223" s="38">
        <f>(16+18)/2/100</f>
        <v>0.17</v>
      </c>
      <c r="DH223" s="38">
        <f>(14.8+18.8)/2/100</f>
        <v>0.16800000000000001</v>
      </c>
      <c r="DS223" s="12"/>
      <c r="DU223" s="15"/>
      <c r="FA223" s="38" t="s">
        <v>1052</v>
      </c>
      <c r="FC223" s="38">
        <v>16</v>
      </c>
    </row>
    <row r="224" spans="1:159" s="38" customFormat="1" x14ac:dyDescent="0.25">
      <c r="A224" s="38">
        <v>16</v>
      </c>
      <c r="B224" s="38" t="s">
        <v>368</v>
      </c>
      <c r="C224" s="38" t="s">
        <v>369</v>
      </c>
      <c r="D224" s="38">
        <v>1998</v>
      </c>
      <c r="E224" s="38">
        <v>1996</v>
      </c>
      <c r="F224" s="38" t="s">
        <v>370</v>
      </c>
      <c r="G224" s="38" t="s">
        <v>371</v>
      </c>
      <c r="H224" s="38">
        <v>37.200000000000003</v>
      </c>
      <c r="I224" s="38">
        <v>-80.56</v>
      </c>
      <c r="J224" s="38">
        <v>505</v>
      </c>
      <c r="P224" s="57" t="s">
        <v>179</v>
      </c>
      <c r="Q224" s="57"/>
      <c r="R224" s="57"/>
      <c r="S224" s="57" t="s">
        <v>1647</v>
      </c>
      <c r="T224" s="57" t="s">
        <v>1647</v>
      </c>
      <c r="U224" s="38">
        <f t="shared" ref="U224:U225" si="37">(1.76+1.67)/2</f>
        <v>1.7149999999999999</v>
      </c>
      <c r="X224" s="38" t="s">
        <v>168</v>
      </c>
      <c r="AB224" s="38" t="s">
        <v>1556</v>
      </c>
      <c r="AC224" s="38" t="s">
        <v>1812</v>
      </c>
      <c r="AD224" s="153" t="str">
        <f t="shared" si="36"/>
        <v>Rye/Live_crop</v>
      </c>
      <c r="AE224" s="38" t="s">
        <v>287</v>
      </c>
      <c r="AJ224" s="38" t="s">
        <v>372</v>
      </c>
      <c r="AK224" s="38" t="s">
        <v>372</v>
      </c>
      <c r="AL224" s="38" t="s">
        <v>230</v>
      </c>
      <c r="AM224" s="38" t="s">
        <v>373</v>
      </c>
      <c r="AN224" s="38" t="s">
        <v>373</v>
      </c>
      <c r="AP224" s="38" t="s">
        <v>374</v>
      </c>
      <c r="AQ224" s="38">
        <v>4</v>
      </c>
      <c r="AR224" s="38">
        <v>4</v>
      </c>
      <c r="AS224" s="38" t="s">
        <v>177</v>
      </c>
      <c r="AW224" s="64"/>
      <c r="AX224" s="38" t="s">
        <v>378</v>
      </c>
      <c r="BE224" s="38">
        <f t="shared" ref="BE224:BE225" si="38">(1.23+1.37+1.44+1.46)/4</f>
        <v>1.375</v>
      </c>
      <c r="BF224" s="38">
        <f>(1.29+1.36+1.4+1.41)/4</f>
        <v>1.3650000000000002</v>
      </c>
      <c r="CI224" s="38">
        <f t="shared" ref="CI224:CI225" si="39">(24.4+14.9+11.6+10.4)/4</f>
        <v>15.324999999999999</v>
      </c>
      <c r="CJ224" s="38">
        <f>(19.3+16.2+12.8+12.3)/4</f>
        <v>15.149999999999999</v>
      </c>
      <c r="CK224" s="38" t="s">
        <v>376</v>
      </c>
      <c r="CL224" s="38">
        <f t="shared" ref="CL224:CL225" si="40">(29.1+33.3+34+34.7)/4</f>
        <v>32.775000000000006</v>
      </c>
      <c r="CM224" s="38">
        <f>(32+32.6+34.4+34.4)/4</f>
        <v>33.35</v>
      </c>
      <c r="CN224" s="38" t="s">
        <v>375</v>
      </c>
      <c r="CR224" s="38">
        <f t="shared" ref="CR224:CR225" si="41">(76+22.2+2+1.5)/4</f>
        <v>25.425000000000001</v>
      </c>
      <c r="CS224" s="38">
        <f>(38.5+15.8+4.9+4.1)/4</f>
        <v>15.824999999999999</v>
      </c>
      <c r="DG224" s="38">
        <f t="shared" ref="DG224:DG225" si="42">(16+18)/2/100</f>
        <v>0.17</v>
      </c>
      <c r="DH224" s="38">
        <f>(12.1+16.6)/2/100</f>
        <v>0.14350000000000002</v>
      </c>
      <c r="DS224" s="12"/>
      <c r="DU224" s="15"/>
      <c r="FA224" s="38" t="s">
        <v>1052</v>
      </c>
      <c r="FC224" s="38">
        <v>16</v>
      </c>
    </row>
    <row r="225" spans="1:159" s="38" customFormat="1" x14ac:dyDescent="0.25">
      <c r="A225" s="38">
        <v>16</v>
      </c>
      <c r="B225" s="38" t="s">
        <v>368</v>
      </c>
      <c r="C225" s="38" t="s">
        <v>369</v>
      </c>
      <c r="D225" s="38">
        <v>1998</v>
      </c>
      <c r="E225" s="38">
        <v>1996</v>
      </c>
      <c r="F225" s="38" t="s">
        <v>370</v>
      </c>
      <c r="G225" s="38" t="s">
        <v>371</v>
      </c>
      <c r="H225" s="38">
        <v>37.200000000000003</v>
      </c>
      <c r="I225" s="38">
        <v>-80.56</v>
      </c>
      <c r="J225" s="38">
        <v>505</v>
      </c>
      <c r="P225" s="57" t="s">
        <v>179</v>
      </c>
      <c r="Q225" s="57"/>
      <c r="R225" s="57"/>
      <c r="S225" s="57" t="s">
        <v>1647</v>
      </c>
      <c r="T225" s="57" t="s">
        <v>1647</v>
      </c>
      <c r="U225" s="38">
        <f t="shared" si="37"/>
        <v>1.7149999999999999</v>
      </c>
      <c r="X225" s="38" t="s">
        <v>168</v>
      </c>
      <c r="AB225" s="38" t="s">
        <v>1556</v>
      </c>
      <c r="AC225" s="38" t="s">
        <v>1813</v>
      </c>
      <c r="AD225" s="153" t="str">
        <f t="shared" si="36"/>
        <v>Rye/Residue_removed</v>
      </c>
      <c r="AE225" s="38" t="s">
        <v>287</v>
      </c>
      <c r="AJ225" s="38" t="s">
        <v>372</v>
      </c>
      <c r="AK225" s="38" t="s">
        <v>372</v>
      </c>
      <c r="AL225" s="38" t="s">
        <v>230</v>
      </c>
      <c r="AM225" s="38" t="s">
        <v>373</v>
      </c>
      <c r="AN225" s="38" t="s">
        <v>373</v>
      </c>
      <c r="AP225" s="38" t="s">
        <v>374</v>
      </c>
      <c r="AQ225" s="38">
        <v>4</v>
      </c>
      <c r="AR225" s="38">
        <v>4</v>
      </c>
      <c r="AS225" s="38" t="s">
        <v>177</v>
      </c>
      <c r="AW225" s="64"/>
      <c r="AX225" s="38" t="s">
        <v>378</v>
      </c>
      <c r="BE225" s="38">
        <f t="shared" si="38"/>
        <v>1.375</v>
      </c>
      <c r="BF225" s="38">
        <f>(1.31+1.34+1.36+1.4)/4</f>
        <v>1.3525</v>
      </c>
      <c r="CI225" s="38">
        <f t="shared" si="39"/>
        <v>15.324999999999999</v>
      </c>
      <c r="CJ225" s="38">
        <f>(18.8+16.4+15.7+13.9)/4</f>
        <v>16.200000000000003</v>
      </c>
      <c r="CK225" s="38" t="s">
        <v>376</v>
      </c>
      <c r="CL225" s="38">
        <f t="shared" si="40"/>
        <v>32.775000000000006</v>
      </c>
      <c r="CM225" s="38">
        <f>(31.6+32.8+32.8+33.5)/4</f>
        <v>32.674999999999997</v>
      </c>
      <c r="CN225" s="38" t="s">
        <v>375</v>
      </c>
      <c r="CR225" s="38">
        <f t="shared" si="41"/>
        <v>25.425000000000001</v>
      </c>
      <c r="CS225" s="38">
        <f>(34.8+15.1+9.1+6.5)/4</f>
        <v>16.375</v>
      </c>
      <c r="DG225" s="38">
        <f t="shared" si="42"/>
        <v>0.17</v>
      </c>
      <c r="DH225" s="38">
        <f>(13+16.2)/2/100</f>
        <v>0.14599999999999999</v>
      </c>
      <c r="DS225" s="12"/>
      <c r="DU225" s="15"/>
      <c r="FA225" s="38" t="s">
        <v>1052</v>
      </c>
      <c r="FC225" s="38">
        <v>16</v>
      </c>
    </row>
    <row r="226" spans="1:159" s="35" customFormat="1" x14ac:dyDescent="0.25">
      <c r="A226" s="35">
        <v>17</v>
      </c>
      <c r="B226" s="35" t="s">
        <v>379</v>
      </c>
      <c r="C226" s="35" t="s">
        <v>380</v>
      </c>
      <c r="D226" s="35">
        <v>2016</v>
      </c>
      <c r="E226" s="35">
        <v>2011</v>
      </c>
      <c r="F226" s="35" t="s">
        <v>363</v>
      </c>
      <c r="G226" s="35" t="s">
        <v>381</v>
      </c>
      <c r="H226" s="35">
        <f t="shared" ref="H226:H259" si="43">40+43/60</f>
        <v>40.716666666666669</v>
      </c>
      <c r="I226" s="35">
        <f t="shared" ref="I226:I259" si="44">-77-55/60</f>
        <v>-77.916666666666671</v>
      </c>
      <c r="J226" s="35">
        <v>350</v>
      </c>
      <c r="N226" s="35">
        <v>975</v>
      </c>
      <c r="P226" s="54" t="s">
        <v>179</v>
      </c>
      <c r="Q226" s="54"/>
      <c r="R226" s="54"/>
      <c r="S226" s="54" t="s">
        <v>1654</v>
      </c>
      <c r="T226" s="54" t="s">
        <v>1654</v>
      </c>
      <c r="X226" s="35" t="s">
        <v>383</v>
      </c>
      <c r="AB226" s="35" t="s">
        <v>1557</v>
      </c>
      <c r="AC226" s="35" t="s">
        <v>1814</v>
      </c>
      <c r="AD226" s="153" t="str">
        <f t="shared" si="36"/>
        <v>Sunn_hemp</v>
      </c>
      <c r="AE226" s="35" t="s">
        <v>167</v>
      </c>
      <c r="AG226" s="35" t="s">
        <v>382</v>
      </c>
      <c r="AH226" s="35" t="s">
        <v>382</v>
      </c>
      <c r="AI226" s="35" t="s">
        <v>230</v>
      </c>
      <c r="AM226" s="35" t="s">
        <v>384</v>
      </c>
      <c r="AN226" s="35" t="s">
        <v>384</v>
      </c>
      <c r="AO226" s="35" t="s">
        <v>230</v>
      </c>
      <c r="AP226" s="35" t="s">
        <v>208</v>
      </c>
      <c r="AQ226" s="35">
        <v>4</v>
      </c>
      <c r="AR226" s="35">
        <v>4</v>
      </c>
      <c r="AS226" s="35" t="s">
        <v>177</v>
      </c>
      <c r="AU226" s="35">
        <v>61</v>
      </c>
      <c r="AV226" s="35">
        <v>9.3000000000000007</v>
      </c>
      <c r="AW226" s="63"/>
      <c r="BB226" s="35">
        <v>6975</v>
      </c>
      <c r="BC226" s="35">
        <v>6876</v>
      </c>
      <c r="BK226" s="35">
        <f>13.25*0.614</f>
        <v>8.1355000000000004</v>
      </c>
      <c r="BL226" s="35">
        <v>8.64</v>
      </c>
      <c r="BM226" s="35" t="s">
        <v>417</v>
      </c>
      <c r="BP226" s="35" t="s">
        <v>418</v>
      </c>
      <c r="DA226" s="35">
        <v>48.16</v>
      </c>
      <c r="DB226" s="35">
        <v>42.8294</v>
      </c>
      <c r="DC226" s="35" t="s">
        <v>388</v>
      </c>
      <c r="DM226" s="35">
        <v>2820.6</v>
      </c>
      <c r="DN226" s="35">
        <v>3011.35</v>
      </c>
      <c r="DO226" s="35">
        <f>(2964.03-2820.6)*SQRT(4)</f>
        <v>286.86000000000058</v>
      </c>
      <c r="DS226" s="12"/>
      <c r="DU226" s="15"/>
      <c r="FA226" s="35" t="s">
        <v>418</v>
      </c>
      <c r="FC226" s="35">
        <v>17</v>
      </c>
    </row>
    <row r="227" spans="1:159" s="35" customFormat="1" x14ac:dyDescent="0.25">
      <c r="A227" s="35">
        <v>17</v>
      </c>
      <c r="B227" s="35" t="s">
        <v>379</v>
      </c>
      <c r="C227" s="35" t="s">
        <v>380</v>
      </c>
      <c r="D227" s="35">
        <v>2016</v>
      </c>
      <c r="E227" s="35">
        <v>2011</v>
      </c>
      <c r="F227" s="35" t="s">
        <v>363</v>
      </c>
      <c r="G227" s="35" t="s">
        <v>381</v>
      </c>
      <c r="H227" s="35">
        <f t="shared" si="43"/>
        <v>40.716666666666669</v>
      </c>
      <c r="I227" s="35">
        <f t="shared" si="44"/>
        <v>-77.916666666666671</v>
      </c>
      <c r="J227" s="35">
        <v>350</v>
      </c>
      <c r="N227" s="35">
        <v>975</v>
      </c>
      <c r="P227" s="54" t="s">
        <v>179</v>
      </c>
      <c r="Q227" s="54"/>
      <c r="R227" s="54"/>
      <c r="S227" s="54" t="s">
        <v>1654</v>
      </c>
      <c r="T227" s="54" t="s">
        <v>1654</v>
      </c>
      <c r="X227" s="35" t="s">
        <v>383</v>
      </c>
      <c r="AB227" s="35" t="s">
        <v>1557</v>
      </c>
      <c r="AC227" s="35" t="s">
        <v>1387</v>
      </c>
      <c r="AD227" s="153" t="str">
        <f t="shared" si="36"/>
        <v>Legume</v>
      </c>
      <c r="AE227" s="35" t="s">
        <v>167</v>
      </c>
      <c r="AG227" s="35" t="s">
        <v>382</v>
      </c>
      <c r="AH227" s="35" t="s">
        <v>382</v>
      </c>
      <c r="AI227" s="35" t="s">
        <v>230</v>
      </c>
      <c r="AM227" s="35" t="s">
        <v>384</v>
      </c>
      <c r="AN227" s="35" t="s">
        <v>384</v>
      </c>
      <c r="AO227" s="35" t="s">
        <v>230</v>
      </c>
      <c r="AP227" s="35" t="s">
        <v>208</v>
      </c>
      <c r="AQ227" s="35">
        <v>4</v>
      </c>
      <c r="AR227" s="35">
        <v>4</v>
      </c>
      <c r="AS227" s="35" t="s">
        <v>177</v>
      </c>
      <c r="AU227" s="35">
        <v>418</v>
      </c>
      <c r="AV227" s="35">
        <v>9.5</v>
      </c>
      <c r="AW227" s="63"/>
      <c r="BB227" s="35">
        <v>6975</v>
      </c>
      <c r="BC227" s="35">
        <v>6678</v>
      </c>
      <c r="BK227" s="35">
        <f t="shared" ref="BK227:BK241" si="45">13.25*0.614</f>
        <v>8.1355000000000004</v>
      </c>
      <c r="BL227" s="35">
        <v>8.43</v>
      </c>
      <c r="BM227" s="35" t="s">
        <v>417</v>
      </c>
      <c r="BP227" s="35" t="s">
        <v>418</v>
      </c>
      <c r="DA227" s="35">
        <v>48.16</v>
      </c>
      <c r="DB227" s="35">
        <v>35.291600000000003</v>
      </c>
      <c r="DC227" s="35" t="s">
        <v>388</v>
      </c>
      <c r="DM227" s="35">
        <v>2820.6</v>
      </c>
      <c r="DN227" s="35">
        <v>2322.3200000000002</v>
      </c>
      <c r="DO227" s="35">
        <f t="shared" ref="DO227:DO242" si="46">(2964.03-2820.6)*SQRT(4)</f>
        <v>286.86000000000058</v>
      </c>
      <c r="DS227" s="12"/>
      <c r="DU227" s="15"/>
      <c r="FA227" s="35" t="s">
        <v>418</v>
      </c>
      <c r="FC227" s="35">
        <v>17</v>
      </c>
    </row>
    <row r="228" spans="1:159" s="35" customFormat="1" x14ac:dyDescent="0.25">
      <c r="A228" s="35">
        <v>17</v>
      </c>
      <c r="B228" s="35" t="s">
        <v>379</v>
      </c>
      <c r="C228" s="35" t="s">
        <v>380</v>
      </c>
      <c r="D228" s="35">
        <v>2016</v>
      </c>
      <c r="E228" s="35">
        <v>2011</v>
      </c>
      <c r="F228" s="35" t="s">
        <v>363</v>
      </c>
      <c r="G228" s="35" t="s">
        <v>381</v>
      </c>
      <c r="H228" s="35">
        <f t="shared" si="43"/>
        <v>40.716666666666669</v>
      </c>
      <c r="I228" s="35">
        <f t="shared" si="44"/>
        <v>-77.916666666666671</v>
      </c>
      <c r="J228" s="35">
        <v>350</v>
      </c>
      <c r="N228" s="35">
        <v>975</v>
      </c>
      <c r="P228" s="54" t="s">
        <v>179</v>
      </c>
      <c r="Q228" s="54"/>
      <c r="R228" s="54"/>
      <c r="S228" s="54" t="s">
        <v>1654</v>
      </c>
      <c r="T228" s="54" t="s">
        <v>1654</v>
      </c>
      <c r="X228" s="35" t="s">
        <v>383</v>
      </c>
      <c r="AB228" s="35" t="s">
        <v>1557</v>
      </c>
      <c r="AC228" s="35" t="s">
        <v>1815</v>
      </c>
      <c r="AD228" s="153" t="str">
        <f t="shared" si="36"/>
        <v>red_clover</v>
      </c>
      <c r="AE228" s="35" t="s">
        <v>167</v>
      </c>
      <c r="AG228" s="35" t="s">
        <v>382</v>
      </c>
      <c r="AH228" s="35" t="s">
        <v>382</v>
      </c>
      <c r="AI228" s="35" t="s">
        <v>230</v>
      </c>
      <c r="AM228" s="35" t="s">
        <v>384</v>
      </c>
      <c r="AN228" s="35" t="s">
        <v>384</v>
      </c>
      <c r="AO228" s="35" t="s">
        <v>230</v>
      </c>
      <c r="AP228" s="35" t="s">
        <v>208</v>
      </c>
      <c r="AQ228" s="35">
        <v>4</v>
      </c>
      <c r="AR228" s="35">
        <v>4</v>
      </c>
      <c r="AS228" s="35" t="s">
        <v>177</v>
      </c>
      <c r="AU228" s="35">
        <v>4045</v>
      </c>
      <c r="AV228" s="35">
        <v>10.3</v>
      </c>
      <c r="AW228" s="63"/>
      <c r="BB228" s="35">
        <v>6975</v>
      </c>
      <c r="BC228" s="35">
        <v>9653</v>
      </c>
      <c r="BK228" s="35">
        <f t="shared" si="45"/>
        <v>8.1355000000000004</v>
      </c>
      <c r="BL228" s="35">
        <v>18.399999999999999</v>
      </c>
      <c r="BM228" s="35" t="s">
        <v>417</v>
      </c>
      <c r="BP228" s="35" t="s">
        <v>418</v>
      </c>
      <c r="DA228" s="35">
        <v>48.16</v>
      </c>
      <c r="DB228" s="35">
        <v>33.94</v>
      </c>
      <c r="DC228" s="35" t="s">
        <v>388</v>
      </c>
      <c r="DM228" s="35">
        <v>2820.6</v>
      </c>
      <c r="DN228" s="35">
        <v>992.58</v>
      </c>
      <c r="DO228" s="35">
        <f t="shared" si="46"/>
        <v>286.86000000000058</v>
      </c>
      <c r="DS228" s="12"/>
      <c r="DU228" s="15"/>
      <c r="FA228" s="35" t="s">
        <v>418</v>
      </c>
      <c r="FC228" s="35">
        <v>17</v>
      </c>
    </row>
    <row r="229" spans="1:159" s="35" customFormat="1" x14ac:dyDescent="0.25">
      <c r="A229" s="35">
        <v>17</v>
      </c>
      <c r="B229" s="35" t="s">
        <v>379</v>
      </c>
      <c r="C229" s="35" t="s">
        <v>380</v>
      </c>
      <c r="D229" s="35">
        <v>2016</v>
      </c>
      <c r="E229" s="35">
        <v>2011</v>
      </c>
      <c r="F229" s="35" t="s">
        <v>363</v>
      </c>
      <c r="G229" s="35" t="s">
        <v>381</v>
      </c>
      <c r="H229" s="35">
        <f t="shared" si="43"/>
        <v>40.716666666666669</v>
      </c>
      <c r="I229" s="35">
        <f t="shared" si="44"/>
        <v>-77.916666666666671</v>
      </c>
      <c r="J229" s="35">
        <v>350</v>
      </c>
      <c r="N229" s="35">
        <v>975</v>
      </c>
      <c r="P229" s="54" t="s">
        <v>179</v>
      </c>
      <c r="Q229" s="54"/>
      <c r="R229" s="54"/>
      <c r="S229" s="54" t="s">
        <v>1654</v>
      </c>
      <c r="T229" s="54" t="s">
        <v>1654</v>
      </c>
      <c r="X229" s="35" t="s">
        <v>383</v>
      </c>
      <c r="AB229" s="35" t="s">
        <v>1557</v>
      </c>
      <c r="AC229" s="35" t="s">
        <v>301</v>
      </c>
      <c r="AD229" s="153" t="str">
        <f t="shared" si="36"/>
        <v>Vetch</v>
      </c>
      <c r="AE229" s="35" t="s">
        <v>167</v>
      </c>
      <c r="AG229" s="35" t="s">
        <v>382</v>
      </c>
      <c r="AH229" s="35" t="s">
        <v>382</v>
      </c>
      <c r="AI229" s="35" t="s">
        <v>230</v>
      </c>
      <c r="AM229" s="35" t="s">
        <v>384</v>
      </c>
      <c r="AN229" s="35" t="s">
        <v>384</v>
      </c>
      <c r="AO229" s="35" t="s">
        <v>230</v>
      </c>
      <c r="AP229" s="35" t="s">
        <v>208</v>
      </c>
      <c r="AQ229" s="35">
        <v>4</v>
      </c>
      <c r="AR229" s="35">
        <v>4</v>
      </c>
      <c r="AS229" s="35" t="s">
        <v>177</v>
      </c>
      <c r="AU229" s="35">
        <v>4531</v>
      </c>
      <c r="AV229" s="35">
        <v>9</v>
      </c>
      <c r="AW229" s="63"/>
      <c r="BB229" s="35">
        <v>6975</v>
      </c>
      <c r="BC229" s="35">
        <v>9884</v>
      </c>
      <c r="BK229" s="35">
        <f t="shared" si="45"/>
        <v>8.1355000000000004</v>
      </c>
      <c r="BL229" s="35">
        <v>27.04</v>
      </c>
      <c r="BM229" s="35" t="s">
        <v>417</v>
      </c>
      <c r="BP229" s="35" t="s">
        <v>418</v>
      </c>
      <c r="DA229" s="35">
        <v>48.16</v>
      </c>
      <c r="DB229" s="35">
        <v>34.36</v>
      </c>
      <c r="DC229" s="35" t="s">
        <v>388</v>
      </c>
      <c r="DM229" s="35">
        <v>2820.6</v>
      </c>
      <c r="DN229" s="35">
        <v>236.61</v>
      </c>
      <c r="DO229" s="35">
        <f t="shared" si="46"/>
        <v>286.86000000000058</v>
      </c>
      <c r="DS229" s="12"/>
      <c r="DU229" s="15"/>
      <c r="FA229" s="35" t="s">
        <v>418</v>
      </c>
      <c r="FC229" s="35">
        <v>17</v>
      </c>
    </row>
    <row r="230" spans="1:159" s="35" customFormat="1" x14ac:dyDescent="0.25">
      <c r="A230" s="35">
        <v>17</v>
      </c>
      <c r="B230" s="35" t="s">
        <v>379</v>
      </c>
      <c r="C230" s="35" t="s">
        <v>380</v>
      </c>
      <c r="D230" s="35">
        <v>2016</v>
      </c>
      <c r="E230" s="35">
        <v>2011</v>
      </c>
      <c r="F230" s="35" t="s">
        <v>363</v>
      </c>
      <c r="G230" s="35" t="s">
        <v>381</v>
      </c>
      <c r="H230" s="35">
        <f t="shared" si="43"/>
        <v>40.716666666666669</v>
      </c>
      <c r="I230" s="35">
        <f t="shared" si="44"/>
        <v>-77.916666666666671</v>
      </c>
      <c r="J230" s="35">
        <v>350</v>
      </c>
      <c r="N230" s="35">
        <v>975</v>
      </c>
      <c r="P230" s="54" t="s">
        <v>179</v>
      </c>
      <c r="Q230" s="54"/>
      <c r="R230" s="54"/>
      <c r="S230" s="54" t="s">
        <v>1654</v>
      </c>
      <c r="T230" s="54" t="s">
        <v>1654</v>
      </c>
      <c r="X230" s="35" t="s">
        <v>383</v>
      </c>
      <c r="AB230" s="35" t="s">
        <v>1557</v>
      </c>
      <c r="AC230" s="35" t="s">
        <v>1861</v>
      </c>
      <c r="AD230" s="153" t="str">
        <f t="shared" si="36"/>
        <v>Forage_radish</v>
      </c>
      <c r="AE230" s="35" t="s">
        <v>167</v>
      </c>
      <c r="AG230" s="35" t="s">
        <v>382</v>
      </c>
      <c r="AH230" s="35" t="s">
        <v>382</v>
      </c>
      <c r="AI230" s="35" t="s">
        <v>230</v>
      </c>
      <c r="AM230" s="35" t="s">
        <v>384</v>
      </c>
      <c r="AN230" s="35" t="s">
        <v>384</v>
      </c>
      <c r="AO230" s="35" t="s">
        <v>230</v>
      </c>
      <c r="AP230" s="35" t="s">
        <v>208</v>
      </c>
      <c r="AQ230" s="35">
        <v>4</v>
      </c>
      <c r="AR230" s="35">
        <v>4</v>
      </c>
      <c r="AS230" s="35" t="s">
        <v>177</v>
      </c>
      <c r="AU230" s="35">
        <v>1381</v>
      </c>
      <c r="AV230" s="35">
        <v>15.7</v>
      </c>
      <c r="AW230" s="63"/>
      <c r="BB230" s="35">
        <v>6975</v>
      </c>
      <c r="BC230" s="35">
        <v>8033</v>
      </c>
      <c r="BK230" s="35">
        <f t="shared" si="45"/>
        <v>8.1355000000000004</v>
      </c>
      <c r="BL230" s="35">
        <v>10.45</v>
      </c>
      <c r="BM230" s="35" t="s">
        <v>417</v>
      </c>
      <c r="BP230" s="35" t="s">
        <v>418</v>
      </c>
      <c r="DA230" s="35">
        <v>48.16</v>
      </c>
      <c r="DB230" s="35">
        <v>47.6</v>
      </c>
      <c r="DC230" s="35" t="s">
        <v>388</v>
      </c>
      <c r="DM230" s="35">
        <v>2820.6</v>
      </c>
      <c r="DN230" s="35">
        <v>2225.16</v>
      </c>
      <c r="DO230" s="35">
        <f t="shared" si="46"/>
        <v>286.86000000000058</v>
      </c>
      <c r="DS230" s="12"/>
      <c r="DU230" s="15"/>
      <c r="FA230" s="35" t="s">
        <v>418</v>
      </c>
      <c r="FC230" s="35">
        <v>17</v>
      </c>
    </row>
    <row r="231" spans="1:159" s="35" customFormat="1" x14ac:dyDescent="0.25">
      <c r="A231" s="35">
        <v>17</v>
      </c>
      <c r="B231" s="35" t="s">
        <v>379</v>
      </c>
      <c r="C231" s="35" t="s">
        <v>380</v>
      </c>
      <c r="D231" s="35">
        <v>2016</v>
      </c>
      <c r="E231" s="35">
        <v>2011</v>
      </c>
      <c r="F231" s="35" t="s">
        <v>363</v>
      </c>
      <c r="G231" s="35" t="s">
        <v>381</v>
      </c>
      <c r="H231" s="35">
        <f t="shared" si="43"/>
        <v>40.716666666666669</v>
      </c>
      <c r="I231" s="35">
        <f t="shared" si="44"/>
        <v>-77.916666666666671</v>
      </c>
      <c r="J231" s="35">
        <v>350</v>
      </c>
      <c r="N231" s="35">
        <v>975</v>
      </c>
      <c r="P231" s="54" t="s">
        <v>179</v>
      </c>
      <c r="Q231" s="54"/>
      <c r="R231" s="54"/>
      <c r="S231" s="54" t="s">
        <v>1654</v>
      </c>
      <c r="T231" s="54" t="s">
        <v>1654</v>
      </c>
      <c r="X231" s="35" t="s">
        <v>383</v>
      </c>
      <c r="AB231" s="35" t="s">
        <v>1557</v>
      </c>
      <c r="AC231" s="35" t="s">
        <v>638</v>
      </c>
      <c r="AD231" s="153" t="str">
        <f t="shared" si="36"/>
        <v>Oat</v>
      </c>
      <c r="AE231" s="35" t="s">
        <v>167</v>
      </c>
      <c r="AG231" s="35" t="s">
        <v>382</v>
      </c>
      <c r="AH231" s="35" t="s">
        <v>382</v>
      </c>
      <c r="AI231" s="35" t="s">
        <v>230</v>
      </c>
      <c r="AM231" s="35" t="s">
        <v>384</v>
      </c>
      <c r="AN231" s="35" t="s">
        <v>384</v>
      </c>
      <c r="AO231" s="35" t="s">
        <v>230</v>
      </c>
      <c r="AP231" s="35" t="s">
        <v>208</v>
      </c>
      <c r="AQ231" s="35">
        <v>4</v>
      </c>
      <c r="AR231" s="35">
        <v>4</v>
      </c>
      <c r="AS231" s="35" t="s">
        <v>177</v>
      </c>
      <c r="AU231" s="35">
        <v>1901</v>
      </c>
      <c r="AV231" s="35">
        <v>17.899999999999999</v>
      </c>
      <c r="AW231" s="63"/>
      <c r="BB231" s="35">
        <v>6975</v>
      </c>
      <c r="BC231" s="35">
        <v>8033</v>
      </c>
      <c r="BK231" s="35">
        <f t="shared" si="45"/>
        <v>8.1355000000000004</v>
      </c>
      <c r="BL231" s="35">
        <v>9.73</v>
      </c>
      <c r="BM231" s="35" t="s">
        <v>417</v>
      </c>
      <c r="BP231" s="35" t="s">
        <v>418</v>
      </c>
      <c r="DA231" s="35">
        <v>48.16</v>
      </c>
      <c r="DB231" s="35">
        <v>21.05</v>
      </c>
      <c r="DC231" s="35" t="s">
        <v>388</v>
      </c>
      <c r="DM231" s="35">
        <v>2820.6</v>
      </c>
      <c r="DN231" s="35">
        <v>541.59</v>
      </c>
      <c r="DO231" s="35">
        <f t="shared" si="46"/>
        <v>286.86000000000058</v>
      </c>
      <c r="DS231" s="12"/>
      <c r="DU231" s="15"/>
      <c r="FA231" s="35" t="s">
        <v>418</v>
      </c>
      <c r="FC231" s="35">
        <v>17</v>
      </c>
    </row>
    <row r="232" spans="1:159" s="35" customFormat="1" x14ac:dyDescent="0.25">
      <c r="A232" s="35">
        <v>17</v>
      </c>
      <c r="B232" s="35" t="s">
        <v>379</v>
      </c>
      <c r="C232" s="35" t="s">
        <v>380</v>
      </c>
      <c r="D232" s="35">
        <v>2016</v>
      </c>
      <c r="E232" s="35">
        <v>2011</v>
      </c>
      <c r="F232" s="35" t="s">
        <v>363</v>
      </c>
      <c r="G232" s="35" t="s">
        <v>381</v>
      </c>
      <c r="H232" s="35">
        <f t="shared" si="43"/>
        <v>40.716666666666669</v>
      </c>
      <c r="I232" s="35">
        <f t="shared" si="44"/>
        <v>-77.916666666666671</v>
      </c>
      <c r="J232" s="35">
        <v>350</v>
      </c>
      <c r="N232" s="35">
        <v>975</v>
      </c>
      <c r="P232" s="54" t="s">
        <v>179</v>
      </c>
      <c r="Q232" s="54"/>
      <c r="R232" s="54"/>
      <c r="S232" s="54" t="s">
        <v>1654</v>
      </c>
      <c r="T232" s="54" t="s">
        <v>1654</v>
      </c>
      <c r="X232" s="35" t="s">
        <v>383</v>
      </c>
      <c r="AB232" s="35" t="s">
        <v>1557</v>
      </c>
      <c r="AC232" s="35" t="s">
        <v>641</v>
      </c>
      <c r="AD232" s="153" t="str">
        <f t="shared" si="36"/>
        <v>Canola</v>
      </c>
      <c r="AE232" s="35" t="s">
        <v>167</v>
      </c>
      <c r="AG232" s="35" t="s">
        <v>382</v>
      </c>
      <c r="AH232" s="35" t="s">
        <v>382</v>
      </c>
      <c r="AI232" s="35" t="s">
        <v>230</v>
      </c>
      <c r="AM232" s="35" t="s">
        <v>384</v>
      </c>
      <c r="AN232" s="35" t="s">
        <v>384</v>
      </c>
      <c r="AO232" s="35" t="s">
        <v>230</v>
      </c>
      <c r="AP232" s="35" t="s">
        <v>208</v>
      </c>
      <c r="AQ232" s="35">
        <v>4</v>
      </c>
      <c r="AR232" s="35">
        <v>4</v>
      </c>
      <c r="AS232" s="35" t="s">
        <v>177</v>
      </c>
      <c r="AU232" s="35">
        <v>7165</v>
      </c>
      <c r="AV232" s="35">
        <v>24.2</v>
      </c>
      <c r="AW232" s="63"/>
      <c r="BB232" s="35">
        <v>6975</v>
      </c>
      <c r="BC232" s="35">
        <v>7372</v>
      </c>
      <c r="BK232" s="35">
        <f t="shared" si="45"/>
        <v>8.1355000000000004</v>
      </c>
      <c r="BL232" s="35">
        <v>8.7100000000000009</v>
      </c>
      <c r="BM232" s="35" t="s">
        <v>417</v>
      </c>
      <c r="BP232" s="35" t="s">
        <v>418</v>
      </c>
      <c r="DA232" s="35">
        <v>48.16</v>
      </c>
      <c r="DB232" s="35">
        <v>2.02</v>
      </c>
      <c r="DC232" s="35" t="s">
        <v>388</v>
      </c>
      <c r="DM232" s="35">
        <v>2820.6</v>
      </c>
      <c r="DN232" s="35">
        <v>129.88999999999999</v>
      </c>
      <c r="DO232" s="35">
        <f t="shared" si="46"/>
        <v>286.86000000000058</v>
      </c>
      <c r="DS232" s="12"/>
      <c r="DU232" s="15"/>
      <c r="FA232" s="35" t="s">
        <v>418</v>
      </c>
      <c r="FC232" s="35">
        <v>17</v>
      </c>
    </row>
    <row r="233" spans="1:159" s="35" customFormat="1" x14ac:dyDescent="0.25">
      <c r="A233" s="35">
        <v>17</v>
      </c>
      <c r="B233" s="35" t="s">
        <v>379</v>
      </c>
      <c r="C233" s="35" t="s">
        <v>380</v>
      </c>
      <c r="D233" s="35">
        <v>2016</v>
      </c>
      <c r="E233" s="35">
        <v>2011</v>
      </c>
      <c r="F233" s="35" t="s">
        <v>363</v>
      </c>
      <c r="G233" s="35" t="s">
        <v>381</v>
      </c>
      <c r="H233" s="35">
        <f t="shared" si="43"/>
        <v>40.716666666666669</v>
      </c>
      <c r="I233" s="35">
        <f t="shared" si="44"/>
        <v>-77.916666666666671</v>
      </c>
      <c r="J233" s="35">
        <v>350</v>
      </c>
      <c r="N233" s="35">
        <v>975</v>
      </c>
      <c r="P233" s="54" t="s">
        <v>179</v>
      </c>
      <c r="Q233" s="54"/>
      <c r="R233" s="54"/>
      <c r="S233" s="54" t="s">
        <v>1654</v>
      </c>
      <c r="T233" s="54" t="s">
        <v>1654</v>
      </c>
      <c r="X233" s="35" t="s">
        <v>383</v>
      </c>
      <c r="AB233" s="35" t="s">
        <v>1557</v>
      </c>
      <c r="AC233" s="35" t="s">
        <v>166</v>
      </c>
      <c r="AD233" s="153" t="str">
        <f t="shared" si="36"/>
        <v>Rye</v>
      </c>
      <c r="AE233" s="35" t="s">
        <v>167</v>
      </c>
      <c r="AG233" s="35" t="s">
        <v>382</v>
      </c>
      <c r="AH233" s="35" t="s">
        <v>382</v>
      </c>
      <c r="AI233" s="35" t="s">
        <v>230</v>
      </c>
      <c r="AM233" s="35" t="s">
        <v>384</v>
      </c>
      <c r="AN233" s="35" t="s">
        <v>384</v>
      </c>
      <c r="AO233" s="35" t="s">
        <v>230</v>
      </c>
      <c r="AP233" s="35" t="s">
        <v>208</v>
      </c>
      <c r="AQ233" s="35">
        <v>4</v>
      </c>
      <c r="AR233" s="35">
        <v>4</v>
      </c>
      <c r="AS233" s="35" t="s">
        <v>177</v>
      </c>
      <c r="AU233" s="35">
        <v>7343</v>
      </c>
      <c r="AV233" s="35">
        <v>42.9</v>
      </c>
      <c r="AW233" s="63"/>
      <c r="BB233" s="35">
        <v>6975</v>
      </c>
      <c r="BC233" s="35">
        <v>4876</v>
      </c>
      <c r="BK233" s="35">
        <f t="shared" si="45"/>
        <v>8.1355000000000004</v>
      </c>
      <c r="BL233" s="35">
        <v>7.99</v>
      </c>
      <c r="BM233" s="35" t="s">
        <v>417</v>
      </c>
      <c r="BP233" s="35" t="s">
        <v>418</v>
      </c>
      <c r="DA233" s="35">
        <v>48.16</v>
      </c>
      <c r="DB233" s="35">
        <v>0.23</v>
      </c>
      <c r="DC233" s="35" t="s">
        <v>388</v>
      </c>
      <c r="DM233" s="35">
        <v>2820.6</v>
      </c>
      <c r="DN233" s="35">
        <v>33.74</v>
      </c>
      <c r="DO233" s="35">
        <f t="shared" si="46"/>
        <v>286.86000000000058</v>
      </c>
      <c r="DS233" s="12"/>
      <c r="DU233" s="15"/>
      <c r="FA233" s="35" t="s">
        <v>418</v>
      </c>
      <c r="FC233" s="35">
        <v>17</v>
      </c>
    </row>
    <row r="234" spans="1:159" s="35" customFormat="1" x14ac:dyDescent="0.25">
      <c r="A234" s="35">
        <v>17</v>
      </c>
      <c r="B234" s="35" t="s">
        <v>379</v>
      </c>
      <c r="C234" s="35" t="s">
        <v>380</v>
      </c>
      <c r="D234" s="35">
        <v>2016</v>
      </c>
      <c r="E234" s="35">
        <v>2011</v>
      </c>
      <c r="F234" s="35" t="s">
        <v>363</v>
      </c>
      <c r="G234" s="35" t="s">
        <v>381</v>
      </c>
      <c r="H234" s="35">
        <f t="shared" si="43"/>
        <v>40.716666666666669</v>
      </c>
      <c r="I234" s="35">
        <f t="shared" si="44"/>
        <v>-77.916666666666671</v>
      </c>
      <c r="J234" s="35">
        <v>350</v>
      </c>
      <c r="N234" s="35">
        <v>975</v>
      </c>
      <c r="P234" s="54" t="s">
        <v>179</v>
      </c>
      <c r="Q234" s="54"/>
      <c r="R234" s="54"/>
      <c r="S234" s="54" t="s">
        <v>1654</v>
      </c>
      <c r="T234" s="54" t="s">
        <v>1654</v>
      </c>
      <c r="X234" s="35" t="s">
        <v>383</v>
      </c>
      <c r="AB234" s="35" t="s">
        <v>1557</v>
      </c>
      <c r="AC234" s="35" t="s">
        <v>1786</v>
      </c>
      <c r="AD234" s="153" t="str">
        <f t="shared" si="36"/>
        <v>FR/OA/FM/SS</v>
      </c>
      <c r="AE234" s="35" t="s">
        <v>167</v>
      </c>
      <c r="AG234" s="35" t="s">
        <v>382</v>
      </c>
      <c r="AH234" s="35" t="s">
        <v>382</v>
      </c>
      <c r="AI234" s="35" t="s">
        <v>230</v>
      </c>
      <c r="AM234" s="35" t="s">
        <v>384</v>
      </c>
      <c r="AN234" s="35" t="s">
        <v>384</v>
      </c>
      <c r="AO234" s="35" t="s">
        <v>230</v>
      </c>
      <c r="AP234" s="35" t="s">
        <v>208</v>
      </c>
      <c r="AQ234" s="35">
        <v>4</v>
      </c>
      <c r="AR234" s="35">
        <v>4</v>
      </c>
      <c r="AS234" s="35" t="s">
        <v>177</v>
      </c>
      <c r="AU234" s="35">
        <v>1829</v>
      </c>
      <c r="AV234" s="35">
        <v>16.399999999999999</v>
      </c>
      <c r="AW234" s="63"/>
      <c r="BB234" s="35">
        <v>6975</v>
      </c>
      <c r="BC234" s="35">
        <v>7702</v>
      </c>
      <c r="BK234" s="35">
        <f t="shared" si="45"/>
        <v>8.1355000000000004</v>
      </c>
      <c r="BL234" s="35">
        <v>9.82</v>
      </c>
      <c r="BM234" s="35" t="s">
        <v>417</v>
      </c>
      <c r="BP234" s="35" t="s">
        <v>418</v>
      </c>
      <c r="DA234" s="35">
        <v>48.16</v>
      </c>
      <c r="DB234" s="35">
        <v>22.75</v>
      </c>
      <c r="DC234" s="35" t="s">
        <v>388</v>
      </c>
      <c r="DM234" s="35">
        <v>2820.6</v>
      </c>
      <c r="DN234" s="35">
        <v>444.43</v>
      </c>
      <c r="DO234" s="35">
        <f t="shared" si="46"/>
        <v>286.86000000000058</v>
      </c>
      <c r="DS234" s="12"/>
      <c r="DU234" s="15"/>
      <c r="FA234" s="35" t="s">
        <v>418</v>
      </c>
      <c r="FC234" s="35">
        <v>17</v>
      </c>
    </row>
    <row r="235" spans="1:159" s="35" customFormat="1" x14ac:dyDescent="0.25">
      <c r="A235" s="35">
        <v>17</v>
      </c>
      <c r="B235" s="35" t="s">
        <v>379</v>
      </c>
      <c r="C235" s="35" t="s">
        <v>380</v>
      </c>
      <c r="D235" s="35">
        <v>2016</v>
      </c>
      <c r="E235" s="35">
        <v>2011</v>
      </c>
      <c r="F235" s="35" t="s">
        <v>363</v>
      </c>
      <c r="G235" s="35" t="s">
        <v>381</v>
      </c>
      <c r="H235" s="35">
        <f t="shared" si="43"/>
        <v>40.716666666666669</v>
      </c>
      <c r="I235" s="35">
        <f t="shared" si="44"/>
        <v>-77.916666666666671</v>
      </c>
      <c r="J235" s="35">
        <v>350</v>
      </c>
      <c r="N235" s="35">
        <v>975</v>
      </c>
      <c r="P235" s="54" t="s">
        <v>179</v>
      </c>
      <c r="Q235" s="54"/>
      <c r="R235" s="54"/>
      <c r="S235" s="54" t="s">
        <v>1654</v>
      </c>
      <c r="T235" s="54" t="s">
        <v>1654</v>
      </c>
      <c r="X235" s="35" t="s">
        <v>383</v>
      </c>
      <c r="AB235" s="35" t="s">
        <v>1557</v>
      </c>
      <c r="AC235" s="35" t="s">
        <v>1787</v>
      </c>
      <c r="AD235" s="153" t="str">
        <f t="shared" si="36"/>
        <v>CA/CR/BA/RG</v>
      </c>
      <c r="AE235" s="35" t="s">
        <v>167</v>
      </c>
      <c r="AG235" s="35" t="s">
        <v>382</v>
      </c>
      <c r="AH235" s="35" t="s">
        <v>382</v>
      </c>
      <c r="AI235" s="35" t="s">
        <v>230</v>
      </c>
      <c r="AM235" s="35" t="s">
        <v>384</v>
      </c>
      <c r="AN235" s="35" t="s">
        <v>384</v>
      </c>
      <c r="AO235" s="35" t="s">
        <v>230</v>
      </c>
      <c r="AP235" s="35" t="s">
        <v>208</v>
      </c>
      <c r="AQ235" s="35">
        <v>4</v>
      </c>
      <c r="AR235" s="35">
        <v>4</v>
      </c>
      <c r="AS235" s="35" t="s">
        <v>177</v>
      </c>
      <c r="AU235" s="35">
        <v>7415</v>
      </c>
      <c r="AV235" s="35">
        <v>43.1</v>
      </c>
      <c r="AW235" s="63"/>
      <c r="BB235" s="35">
        <v>6975</v>
      </c>
      <c r="BC235" s="35">
        <v>5917</v>
      </c>
      <c r="BK235" s="35">
        <f t="shared" si="45"/>
        <v>8.1355000000000004</v>
      </c>
      <c r="BL235" s="35">
        <v>5.54</v>
      </c>
      <c r="BM235" s="35" t="s">
        <v>417</v>
      </c>
      <c r="BP235" s="35" t="s">
        <v>418</v>
      </c>
      <c r="DA235" s="35">
        <v>48.16</v>
      </c>
      <c r="DB235" s="35">
        <v>1.07</v>
      </c>
      <c r="DC235" s="35" t="s">
        <v>388</v>
      </c>
      <c r="DM235" s="35">
        <v>2820.6</v>
      </c>
      <c r="DN235" s="35">
        <v>13.61</v>
      </c>
      <c r="DO235" s="35">
        <f t="shared" si="46"/>
        <v>286.86000000000058</v>
      </c>
      <c r="DS235" s="12"/>
      <c r="DU235" s="15"/>
      <c r="FA235" s="35" t="s">
        <v>418</v>
      </c>
      <c r="FC235" s="35">
        <v>17</v>
      </c>
    </row>
    <row r="236" spans="1:159" s="35" customFormat="1" x14ac:dyDescent="0.25">
      <c r="A236" s="35">
        <v>17</v>
      </c>
      <c r="B236" s="35" t="s">
        <v>379</v>
      </c>
      <c r="C236" s="35" t="s">
        <v>380</v>
      </c>
      <c r="D236" s="35">
        <v>2016</v>
      </c>
      <c r="E236" s="35">
        <v>2011</v>
      </c>
      <c r="F236" s="35" t="s">
        <v>363</v>
      </c>
      <c r="G236" s="35" t="s">
        <v>381</v>
      </c>
      <c r="H236" s="35">
        <f t="shared" si="43"/>
        <v>40.716666666666669</v>
      </c>
      <c r="I236" s="35">
        <f t="shared" si="44"/>
        <v>-77.916666666666671</v>
      </c>
      <c r="J236" s="35">
        <v>350</v>
      </c>
      <c r="N236" s="35">
        <v>975</v>
      </c>
      <c r="P236" s="54" t="s">
        <v>179</v>
      </c>
      <c r="Q236" s="54"/>
      <c r="R236" s="54"/>
      <c r="S236" s="54" t="s">
        <v>1654</v>
      </c>
      <c r="T236" s="54" t="s">
        <v>1654</v>
      </c>
      <c r="X236" s="35" t="s">
        <v>383</v>
      </c>
      <c r="AB236" s="35" t="s">
        <v>1557</v>
      </c>
      <c r="AC236" s="35" t="s">
        <v>1788</v>
      </c>
      <c r="AD236" s="153" t="str">
        <f t="shared" si="36"/>
        <v>FR/OA/CA/CR</v>
      </c>
      <c r="AE236" s="35" t="s">
        <v>167</v>
      </c>
      <c r="AG236" s="35" t="s">
        <v>382</v>
      </c>
      <c r="AH236" s="35" t="s">
        <v>382</v>
      </c>
      <c r="AI236" s="35" t="s">
        <v>230</v>
      </c>
      <c r="AM236" s="35" t="s">
        <v>384</v>
      </c>
      <c r="AN236" s="35" t="s">
        <v>384</v>
      </c>
      <c r="AO236" s="35" t="s">
        <v>230</v>
      </c>
      <c r="AP236" s="35" t="s">
        <v>208</v>
      </c>
      <c r="AQ236" s="35">
        <v>4</v>
      </c>
      <c r="AR236" s="35">
        <v>4</v>
      </c>
      <c r="AS236" s="35" t="s">
        <v>177</v>
      </c>
      <c r="AU236" s="35">
        <v>5850</v>
      </c>
      <c r="AV236" s="35">
        <v>29.9</v>
      </c>
      <c r="AW236" s="63"/>
      <c r="BB236" s="35">
        <v>6975</v>
      </c>
      <c r="BC236" s="35">
        <v>6645</v>
      </c>
      <c r="BK236" s="35">
        <f t="shared" si="45"/>
        <v>8.1355000000000004</v>
      </c>
      <c r="BL236" s="35">
        <v>6.65</v>
      </c>
      <c r="BM236" s="35" t="s">
        <v>417</v>
      </c>
      <c r="BP236" s="35" t="s">
        <v>418</v>
      </c>
      <c r="DA236" s="35">
        <v>48.16</v>
      </c>
      <c r="DB236" s="35">
        <v>5.4</v>
      </c>
      <c r="DC236" s="35" t="s">
        <v>388</v>
      </c>
      <c r="DM236" s="35">
        <v>2820.6</v>
      </c>
      <c r="DN236" s="35">
        <v>22.66</v>
      </c>
      <c r="DO236" s="35">
        <f t="shared" si="46"/>
        <v>286.86000000000058</v>
      </c>
      <c r="DS236" s="12"/>
      <c r="DU236" s="15"/>
      <c r="FA236" s="35" t="s">
        <v>418</v>
      </c>
      <c r="FC236" s="35">
        <v>17</v>
      </c>
    </row>
    <row r="237" spans="1:159" s="35" customFormat="1" x14ac:dyDescent="0.25">
      <c r="A237" s="35">
        <v>17</v>
      </c>
      <c r="B237" s="35" t="s">
        <v>379</v>
      </c>
      <c r="C237" s="35" t="s">
        <v>380</v>
      </c>
      <c r="D237" s="35">
        <v>2016</v>
      </c>
      <c r="E237" s="35">
        <v>2011</v>
      </c>
      <c r="F237" s="35" t="s">
        <v>363</v>
      </c>
      <c r="G237" s="35" t="s">
        <v>381</v>
      </c>
      <c r="H237" s="35">
        <f t="shared" si="43"/>
        <v>40.716666666666669</v>
      </c>
      <c r="I237" s="35">
        <f t="shared" si="44"/>
        <v>-77.916666666666671</v>
      </c>
      <c r="J237" s="35">
        <v>350</v>
      </c>
      <c r="N237" s="35">
        <v>975</v>
      </c>
      <c r="P237" s="54" t="s">
        <v>179</v>
      </c>
      <c r="Q237" s="54"/>
      <c r="R237" s="54"/>
      <c r="S237" s="54" t="s">
        <v>1654</v>
      </c>
      <c r="T237" s="54" t="s">
        <v>1654</v>
      </c>
      <c r="X237" s="35" t="s">
        <v>383</v>
      </c>
      <c r="AB237" s="35" t="s">
        <v>1557</v>
      </c>
      <c r="AC237" s="35" t="s">
        <v>1789</v>
      </c>
      <c r="AD237" s="153" t="str">
        <f t="shared" si="36"/>
        <v>SH/SB/FR/OA</v>
      </c>
      <c r="AE237" s="35" t="s">
        <v>167</v>
      </c>
      <c r="AG237" s="35" t="s">
        <v>382</v>
      </c>
      <c r="AH237" s="35" t="s">
        <v>382</v>
      </c>
      <c r="AI237" s="35" t="s">
        <v>230</v>
      </c>
      <c r="AM237" s="35" t="s">
        <v>384</v>
      </c>
      <c r="AN237" s="35" t="s">
        <v>384</v>
      </c>
      <c r="AO237" s="35" t="s">
        <v>230</v>
      </c>
      <c r="AP237" s="35" t="s">
        <v>208</v>
      </c>
      <c r="AQ237" s="35">
        <v>4</v>
      </c>
      <c r="AR237" s="35">
        <v>4</v>
      </c>
      <c r="AS237" s="35" t="s">
        <v>177</v>
      </c>
      <c r="AU237" s="35">
        <v>1724</v>
      </c>
      <c r="AV237" s="35">
        <v>15.4</v>
      </c>
      <c r="AW237" s="63"/>
      <c r="BB237" s="35">
        <v>6975</v>
      </c>
      <c r="BC237" s="35">
        <v>7636</v>
      </c>
      <c r="BK237" s="35">
        <f t="shared" si="45"/>
        <v>8.1355000000000004</v>
      </c>
      <c r="BL237" s="35">
        <v>7.87</v>
      </c>
      <c r="BM237" s="35" t="s">
        <v>417</v>
      </c>
      <c r="BP237" s="35" t="s">
        <v>418</v>
      </c>
      <c r="DA237" s="35">
        <v>48.16</v>
      </c>
      <c r="DB237" s="35">
        <v>22.68</v>
      </c>
      <c r="DC237" s="35" t="s">
        <v>388</v>
      </c>
      <c r="DM237" s="35">
        <v>2820.6</v>
      </c>
      <c r="DN237" s="35">
        <v>672.42</v>
      </c>
      <c r="DO237" s="35">
        <f t="shared" si="46"/>
        <v>286.86000000000058</v>
      </c>
      <c r="DS237" s="12"/>
      <c r="DU237" s="15"/>
      <c r="FA237" s="35" t="s">
        <v>418</v>
      </c>
      <c r="FC237" s="35">
        <v>17</v>
      </c>
    </row>
    <row r="238" spans="1:159" s="35" customFormat="1" x14ac:dyDescent="0.25">
      <c r="A238" s="35">
        <v>17</v>
      </c>
      <c r="B238" s="35" t="s">
        <v>379</v>
      </c>
      <c r="C238" s="35" t="s">
        <v>380</v>
      </c>
      <c r="D238" s="35">
        <v>2016</v>
      </c>
      <c r="E238" s="35">
        <v>2011</v>
      </c>
      <c r="F238" s="35" t="s">
        <v>363</v>
      </c>
      <c r="G238" s="35" t="s">
        <v>381</v>
      </c>
      <c r="H238" s="35">
        <f t="shared" si="43"/>
        <v>40.716666666666669</v>
      </c>
      <c r="I238" s="35">
        <f t="shared" si="44"/>
        <v>-77.916666666666671</v>
      </c>
      <c r="J238" s="35">
        <v>350</v>
      </c>
      <c r="N238" s="35">
        <v>975</v>
      </c>
      <c r="P238" s="54" t="s">
        <v>179</v>
      </c>
      <c r="Q238" s="54"/>
      <c r="R238" s="54"/>
      <c r="S238" s="54" t="s">
        <v>1654</v>
      </c>
      <c r="T238" s="54" t="s">
        <v>1654</v>
      </c>
      <c r="X238" s="35" t="s">
        <v>383</v>
      </c>
      <c r="AB238" s="35" t="s">
        <v>1557</v>
      </c>
      <c r="AC238" s="35" t="s">
        <v>1790</v>
      </c>
      <c r="AD238" s="153" t="str">
        <f t="shared" si="36"/>
        <v>RC/HV/CA/CR</v>
      </c>
      <c r="AE238" s="35" t="s">
        <v>167</v>
      </c>
      <c r="AG238" s="35" t="s">
        <v>382</v>
      </c>
      <c r="AH238" s="35" t="s">
        <v>382</v>
      </c>
      <c r="AI238" s="35" t="s">
        <v>230</v>
      </c>
      <c r="AM238" s="35" t="s">
        <v>384</v>
      </c>
      <c r="AN238" s="35" t="s">
        <v>384</v>
      </c>
      <c r="AO238" s="35" t="s">
        <v>230</v>
      </c>
      <c r="AP238" s="35" t="s">
        <v>208</v>
      </c>
      <c r="AQ238" s="35">
        <v>4</v>
      </c>
      <c r="AR238" s="35">
        <v>4</v>
      </c>
      <c r="AS238" s="35" t="s">
        <v>177</v>
      </c>
      <c r="AU238" s="35">
        <v>6699</v>
      </c>
      <c r="AV238" s="35">
        <v>16.399999999999999</v>
      </c>
      <c r="AW238" s="63"/>
      <c r="BB238" s="35">
        <v>6975</v>
      </c>
      <c r="BC238" s="35">
        <v>9289</v>
      </c>
      <c r="BK238" s="35">
        <f t="shared" si="45"/>
        <v>8.1355000000000004</v>
      </c>
      <c r="BL238" s="35">
        <v>11.12</v>
      </c>
      <c r="BM238" s="35" t="s">
        <v>417</v>
      </c>
      <c r="BP238" s="35" t="s">
        <v>418</v>
      </c>
      <c r="DA238" s="35">
        <v>48.16</v>
      </c>
      <c r="DB238" s="35">
        <v>3.65</v>
      </c>
      <c r="DC238" s="35" t="s">
        <v>388</v>
      </c>
      <c r="DM238" s="35">
        <v>2820.6</v>
      </c>
      <c r="DN238" s="35">
        <v>21.63</v>
      </c>
      <c r="DO238" s="35">
        <f t="shared" si="46"/>
        <v>286.86000000000058</v>
      </c>
      <c r="DS238" s="12"/>
      <c r="DU238" s="15"/>
      <c r="FA238" s="35" t="s">
        <v>418</v>
      </c>
      <c r="FC238" s="35">
        <v>17</v>
      </c>
    </row>
    <row r="239" spans="1:159" s="35" customFormat="1" x14ac:dyDescent="0.25">
      <c r="A239" s="35">
        <v>17</v>
      </c>
      <c r="B239" s="35" t="s">
        <v>379</v>
      </c>
      <c r="C239" s="35" t="s">
        <v>380</v>
      </c>
      <c r="D239" s="35">
        <v>2016</v>
      </c>
      <c r="E239" s="35">
        <v>2011</v>
      </c>
      <c r="F239" s="35" t="s">
        <v>363</v>
      </c>
      <c r="G239" s="35" t="s">
        <v>381</v>
      </c>
      <c r="H239" s="35">
        <f t="shared" si="43"/>
        <v>40.716666666666669</v>
      </c>
      <c r="I239" s="35">
        <f t="shared" si="44"/>
        <v>-77.916666666666671</v>
      </c>
      <c r="J239" s="35">
        <v>350</v>
      </c>
      <c r="N239" s="35">
        <v>975</v>
      </c>
      <c r="P239" s="54" t="s">
        <v>179</v>
      </c>
      <c r="Q239" s="54"/>
      <c r="R239" s="54"/>
      <c r="S239" s="54" t="s">
        <v>1654</v>
      </c>
      <c r="T239" s="54" t="s">
        <v>1654</v>
      </c>
      <c r="X239" s="35" t="s">
        <v>383</v>
      </c>
      <c r="AB239" s="35" t="s">
        <v>1557</v>
      </c>
      <c r="AC239" s="35" t="s">
        <v>1791</v>
      </c>
      <c r="AD239" s="153" t="str">
        <f t="shared" si="36"/>
        <v>SH/SB/CA/CR</v>
      </c>
      <c r="AE239" s="35" t="s">
        <v>167</v>
      </c>
      <c r="AG239" s="35" t="s">
        <v>382</v>
      </c>
      <c r="AH239" s="35" t="s">
        <v>382</v>
      </c>
      <c r="AI239" s="35" t="s">
        <v>230</v>
      </c>
      <c r="AM239" s="35" t="s">
        <v>384</v>
      </c>
      <c r="AN239" s="35" t="s">
        <v>384</v>
      </c>
      <c r="AO239" s="35" t="s">
        <v>230</v>
      </c>
      <c r="AP239" s="35" t="s">
        <v>208</v>
      </c>
      <c r="AQ239" s="35">
        <v>4</v>
      </c>
      <c r="AR239" s="35">
        <v>4</v>
      </c>
      <c r="AS239" s="35" t="s">
        <v>177</v>
      </c>
      <c r="AU239" s="35">
        <v>6997</v>
      </c>
      <c r="AV239" s="35">
        <v>35.9</v>
      </c>
      <c r="AW239" s="63"/>
      <c r="BB239" s="35">
        <v>6975</v>
      </c>
      <c r="BC239" s="35">
        <v>5818</v>
      </c>
      <c r="BK239" s="35">
        <f t="shared" si="45"/>
        <v>8.1355000000000004</v>
      </c>
      <c r="BL239" s="35">
        <v>6.23</v>
      </c>
      <c r="BM239" s="35" t="s">
        <v>417</v>
      </c>
      <c r="BP239" s="35" t="s">
        <v>418</v>
      </c>
      <c r="DA239" s="35">
        <v>48.16</v>
      </c>
      <c r="DB239" s="35">
        <v>0.97</v>
      </c>
      <c r="DC239" s="35" t="s">
        <v>388</v>
      </c>
      <c r="DM239" s="35">
        <v>2820.6</v>
      </c>
      <c r="DN239" s="35">
        <v>11.57</v>
      </c>
      <c r="DO239" s="35">
        <f t="shared" si="46"/>
        <v>286.86000000000058</v>
      </c>
      <c r="DS239" s="12"/>
      <c r="DU239" s="15"/>
      <c r="FA239" s="35" t="s">
        <v>418</v>
      </c>
      <c r="FC239" s="35">
        <v>17</v>
      </c>
    </row>
    <row r="240" spans="1:159" s="35" customFormat="1" x14ac:dyDescent="0.25">
      <c r="A240" s="35">
        <v>17</v>
      </c>
      <c r="B240" s="35" t="s">
        <v>379</v>
      </c>
      <c r="C240" s="35" t="s">
        <v>380</v>
      </c>
      <c r="D240" s="35">
        <v>2016</v>
      </c>
      <c r="E240" s="35">
        <v>2011</v>
      </c>
      <c r="F240" s="35" t="s">
        <v>363</v>
      </c>
      <c r="G240" s="35" t="s">
        <v>381</v>
      </c>
      <c r="H240" s="35">
        <f t="shared" si="43"/>
        <v>40.716666666666669</v>
      </c>
      <c r="I240" s="35">
        <f t="shared" si="44"/>
        <v>-77.916666666666671</v>
      </c>
      <c r="J240" s="35">
        <v>350</v>
      </c>
      <c r="N240" s="35">
        <v>975</v>
      </c>
      <c r="P240" s="54" t="s">
        <v>179</v>
      </c>
      <c r="Q240" s="54"/>
      <c r="R240" s="54"/>
      <c r="S240" s="54" t="s">
        <v>1654</v>
      </c>
      <c r="T240" s="54" t="s">
        <v>1654</v>
      </c>
      <c r="X240" s="35" t="s">
        <v>383</v>
      </c>
      <c r="AB240" s="35" t="s">
        <v>1557</v>
      </c>
      <c r="AC240" s="35" t="s">
        <v>1792</v>
      </c>
      <c r="AD240" s="153" t="str">
        <f t="shared" si="36"/>
        <v>RC/HV/FR/OA</v>
      </c>
      <c r="AE240" s="35" t="s">
        <v>167</v>
      </c>
      <c r="AG240" s="35" t="s">
        <v>382</v>
      </c>
      <c r="AH240" s="35" t="s">
        <v>382</v>
      </c>
      <c r="AI240" s="35" t="s">
        <v>230</v>
      </c>
      <c r="AM240" s="35" t="s">
        <v>384</v>
      </c>
      <c r="AN240" s="35" t="s">
        <v>384</v>
      </c>
      <c r="AO240" s="35" t="s">
        <v>230</v>
      </c>
      <c r="AP240" s="35" t="s">
        <v>208</v>
      </c>
      <c r="AQ240" s="35">
        <v>4</v>
      </c>
      <c r="AR240" s="35">
        <v>4</v>
      </c>
      <c r="AS240" s="35" t="s">
        <v>177</v>
      </c>
      <c r="AU240" s="35">
        <v>5374</v>
      </c>
      <c r="AV240" s="35">
        <v>11</v>
      </c>
      <c r="AW240" s="63"/>
      <c r="BB240" s="35">
        <v>6975</v>
      </c>
      <c r="BC240" s="35">
        <v>10281</v>
      </c>
      <c r="BK240" s="35">
        <f t="shared" si="45"/>
        <v>8.1355000000000004</v>
      </c>
      <c r="BL240" s="35">
        <v>17.11</v>
      </c>
      <c r="BM240" s="35" t="s">
        <v>417</v>
      </c>
      <c r="BP240" s="35" t="s">
        <v>418</v>
      </c>
      <c r="DA240" s="35">
        <v>48.16</v>
      </c>
      <c r="DB240" s="35">
        <v>24.38</v>
      </c>
      <c r="DC240" s="35" t="s">
        <v>388</v>
      </c>
      <c r="DM240" s="35">
        <v>2820.6</v>
      </c>
      <c r="DN240" s="35">
        <v>20.62</v>
      </c>
      <c r="DO240" s="35">
        <f t="shared" si="46"/>
        <v>286.86000000000058</v>
      </c>
      <c r="DS240" s="12"/>
      <c r="DU240" s="15"/>
      <c r="FA240" s="35" t="s">
        <v>418</v>
      </c>
      <c r="FC240" s="35">
        <v>17</v>
      </c>
    </row>
    <row r="241" spans="1:159" s="35" customFormat="1" x14ac:dyDescent="0.25">
      <c r="A241" s="35">
        <v>17</v>
      </c>
      <c r="B241" s="35" t="s">
        <v>379</v>
      </c>
      <c r="C241" s="35" t="s">
        <v>380</v>
      </c>
      <c r="D241" s="35">
        <v>2016</v>
      </c>
      <c r="E241" s="35">
        <v>2011</v>
      </c>
      <c r="F241" s="35" t="s">
        <v>363</v>
      </c>
      <c r="G241" s="35" t="s">
        <v>381</v>
      </c>
      <c r="H241" s="35">
        <f t="shared" si="43"/>
        <v>40.716666666666669</v>
      </c>
      <c r="I241" s="35">
        <f t="shared" si="44"/>
        <v>-77.916666666666671</v>
      </c>
      <c r="J241" s="35">
        <v>350</v>
      </c>
      <c r="N241" s="35">
        <v>975</v>
      </c>
      <c r="P241" s="54" t="s">
        <v>179</v>
      </c>
      <c r="Q241" s="54"/>
      <c r="R241" s="54"/>
      <c r="S241" s="54" t="s">
        <v>1654</v>
      </c>
      <c r="T241" s="54" t="s">
        <v>1654</v>
      </c>
      <c r="X241" s="35" t="s">
        <v>383</v>
      </c>
      <c r="AB241" s="35" t="s">
        <v>1557</v>
      </c>
      <c r="AC241" s="35" t="s">
        <v>385</v>
      </c>
      <c r="AD241" s="153" t="str">
        <f t="shared" si="36"/>
        <v>8CCa</v>
      </c>
      <c r="AE241" s="35" t="s">
        <v>167</v>
      </c>
      <c r="AG241" s="35" t="s">
        <v>382</v>
      </c>
      <c r="AH241" s="35" t="s">
        <v>382</v>
      </c>
      <c r="AI241" s="35" t="s">
        <v>230</v>
      </c>
      <c r="AM241" s="35" t="s">
        <v>384</v>
      </c>
      <c r="AN241" s="35" t="s">
        <v>384</v>
      </c>
      <c r="AO241" s="35" t="s">
        <v>230</v>
      </c>
      <c r="AP241" s="35" t="s">
        <v>208</v>
      </c>
      <c r="AQ241" s="35">
        <v>4</v>
      </c>
      <c r="AR241" s="35">
        <v>4</v>
      </c>
      <c r="AS241" s="35" t="s">
        <v>177</v>
      </c>
      <c r="AU241" s="35">
        <v>7143</v>
      </c>
      <c r="AV241" s="35">
        <v>15</v>
      </c>
      <c r="AW241" s="63"/>
      <c r="BB241" s="35">
        <v>6975</v>
      </c>
      <c r="BC241" s="35">
        <v>9884</v>
      </c>
      <c r="BK241" s="35">
        <f t="shared" si="45"/>
        <v>8.1355000000000004</v>
      </c>
      <c r="BL241" s="35">
        <v>13.95</v>
      </c>
      <c r="BM241" s="35" t="s">
        <v>417</v>
      </c>
      <c r="BP241" s="35" t="s">
        <v>418</v>
      </c>
      <c r="DA241" s="35">
        <v>48.16</v>
      </c>
      <c r="DB241" s="35">
        <v>11.53</v>
      </c>
      <c r="DC241" s="35" t="s">
        <v>388</v>
      </c>
      <c r="DM241" s="35">
        <v>2820.6</v>
      </c>
      <c r="DN241" s="35">
        <v>10</v>
      </c>
      <c r="DO241" s="35">
        <f t="shared" si="46"/>
        <v>286.86000000000058</v>
      </c>
      <c r="DS241" s="12"/>
      <c r="DU241" s="15"/>
      <c r="FA241" s="35" t="s">
        <v>418</v>
      </c>
      <c r="FC241" s="35">
        <v>17</v>
      </c>
    </row>
    <row r="242" spans="1:159" s="35" customFormat="1" x14ac:dyDescent="0.25">
      <c r="A242" s="35">
        <v>17</v>
      </c>
      <c r="B242" s="35" t="s">
        <v>379</v>
      </c>
      <c r="C242" s="35" t="s">
        <v>380</v>
      </c>
      <c r="D242" s="35">
        <v>2016</v>
      </c>
      <c r="E242" s="35">
        <v>2011</v>
      </c>
      <c r="F242" s="35" t="s">
        <v>363</v>
      </c>
      <c r="G242" s="35" t="s">
        <v>381</v>
      </c>
      <c r="H242" s="35">
        <f t="shared" si="43"/>
        <v>40.716666666666669</v>
      </c>
      <c r="I242" s="35">
        <f t="shared" si="44"/>
        <v>-77.916666666666671</v>
      </c>
      <c r="J242" s="35">
        <v>350</v>
      </c>
      <c r="N242" s="35">
        <v>975</v>
      </c>
      <c r="P242" s="54" t="s">
        <v>179</v>
      </c>
      <c r="Q242" s="54"/>
      <c r="R242" s="54"/>
      <c r="S242" s="54" t="s">
        <v>1654</v>
      </c>
      <c r="T242" s="54" t="s">
        <v>1654</v>
      </c>
      <c r="X242" s="35" t="s">
        <v>383</v>
      </c>
      <c r="AB242" s="35" t="s">
        <v>1557</v>
      </c>
      <c r="AC242" s="35" t="s">
        <v>386</v>
      </c>
      <c r="AD242" s="153" t="str">
        <f t="shared" si="36"/>
        <v>8CCb</v>
      </c>
      <c r="AE242" s="35" t="s">
        <v>167</v>
      </c>
      <c r="AG242" s="35" t="s">
        <v>382</v>
      </c>
      <c r="AH242" s="35" t="s">
        <v>382</v>
      </c>
      <c r="AI242" s="35" t="s">
        <v>230</v>
      </c>
      <c r="AM242" s="35" t="s">
        <v>384</v>
      </c>
      <c r="AN242" s="35" t="s">
        <v>384</v>
      </c>
      <c r="AO242" s="35" t="s">
        <v>230</v>
      </c>
      <c r="AP242" s="35" t="s">
        <v>208</v>
      </c>
      <c r="AQ242" s="35">
        <v>4</v>
      </c>
      <c r="AR242" s="35">
        <v>4</v>
      </c>
      <c r="AS242" s="35" t="s">
        <v>177</v>
      </c>
      <c r="AW242" s="63"/>
      <c r="DM242" s="35">
        <v>2820.6</v>
      </c>
      <c r="DN242" s="35">
        <v>10</v>
      </c>
      <c r="DO242" s="35">
        <f t="shared" si="46"/>
        <v>286.86000000000058</v>
      </c>
      <c r="DS242" s="12"/>
      <c r="DU242" s="15"/>
      <c r="FA242" s="35" t="s">
        <v>418</v>
      </c>
      <c r="FC242" s="35">
        <v>17</v>
      </c>
    </row>
    <row r="243" spans="1:159" s="26" customFormat="1" x14ac:dyDescent="0.25">
      <c r="A243" s="26">
        <v>17</v>
      </c>
      <c r="B243" s="26" t="s">
        <v>379</v>
      </c>
      <c r="C243" s="26" t="s">
        <v>380</v>
      </c>
      <c r="D243" s="26">
        <v>2016</v>
      </c>
      <c r="E243" s="26">
        <v>2012</v>
      </c>
      <c r="F243" s="35" t="s">
        <v>363</v>
      </c>
      <c r="G243" s="26" t="s">
        <v>381</v>
      </c>
      <c r="H243" s="26">
        <f t="shared" si="43"/>
        <v>40.716666666666669</v>
      </c>
      <c r="I243" s="26">
        <f t="shared" si="44"/>
        <v>-77.916666666666671</v>
      </c>
      <c r="J243" s="26">
        <v>350</v>
      </c>
      <c r="N243" s="26">
        <v>975</v>
      </c>
      <c r="P243" s="52" t="s">
        <v>180</v>
      </c>
      <c r="Q243" s="52"/>
      <c r="R243" s="52"/>
      <c r="S243" s="52" t="s">
        <v>1654</v>
      </c>
      <c r="T243" s="52" t="s">
        <v>1654</v>
      </c>
      <c r="X243" s="26" t="s">
        <v>383</v>
      </c>
      <c r="AB243" s="26" t="s">
        <v>1557</v>
      </c>
      <c r="AC243" s="26" t="s">
        <v>1814</v>
      </c>
      <c r="AD243" s="153" t="str">
        <f t="shared" si="36"/>
        <v>Sunn_hemp</v>
      </c>
      <c r="AE243" s="26" t="s">
        <v>167</v>
      </c>
      <c r="AG243" s="26" t="s">
        <v>382</v>
      </c>
      <c r="AH243" s="26" t="s">
        <v>382</v>
      </c>
      <c r="AI243" s="26" t="s">
        <v>230</v>
      </c>
      <c r="AM243" s="26" t="s">
        <v>384</v>
      </c>
      <c r="AN243" s="26" t="s">
        <v>384</v>
      </c>
      <c r="AO243" s="26" t="s">
        <v>230</v>
      </c>
      <c r="AP243" s="26" t="s">
        <v>208</v>
      </c>
      <c r="AQ243" s="26">
        <v>4</v>
      </c>
      <c r="AR243" s="26">
        <v>4</v>
      </c>
      <c r="AS243" s="26" t="s">
        <v>177</v>
      </c>
      <c r="AU243" s="26">
        <v>666</v>
      </c>
      <c r="AV243" s="26">
        <v>11.7</v>
      </c>
      <c r="AW243" s="63"/>
      <c r="BB243" s="26">
        <v>8826</v>
      </c>
      <c r="BC243" s="26">
        <v>7570</v>
      </c>
      <c r="BK243" s="26">
        <f>15.23*0.614</f>
        <v>9.3512199999999996</v>
      </c>
      <c r="BL243" s="26">
        <v>8.5399999999999991</v>
      </c>
      <c r="BM243" s="26" t="s">
        <v>417</v>
      </c>
      <c r="BP243" s="35" t="s">
        <v>418</v>
      </c>
      <c r="DA243" s="26">
        <v>115.77</v>
      </c>
      <c r="DB243" s="26">
        <v>42.8294</v>
      </c>
      <c r="DC243" s="35" t="s">
        <v>388</v>
      </c>
      <c r="DM243" s="26">
        <v>190.68</v>
      </c>
      <c r="DN243" s="26">
        <v>295.35000000000002</v>
      </c>
      <c r="DO243" s="26">
        <f t="shared" ref="DO243:DO259" si="47">(267.2-DM243)*2</f>
        <v>153.03999999999996</v>
      </c>
      <c r="DS243" s="12"/>
      <c r="DU243" s="15"/>
      <c r="FA243" s="35" t="s">
        <v>418</v>
      </c>
      <c r="FC243" s="26">
        <v>17</v>
      </c>
    </row>
    <row r="244" spans="1:159" s="26" customFormat="1" x14ac:dyDescent="0.25">
      <c r="A244" s="26">
        <v>17</v>
      </c>
      <c r="B244" s="26" t="s">
        <v>379</v>
      </c>
      <c r="C244" s="26" t="s">
        <v>380</v>
      </c>
      <c r="D244" s="26">
        <v>2016</v>
      </c>
      <c r="E244" s="26">
        <v>2012</v>
      </c>
      <c r="F244" s="35" t="s">
        <v>363</v>
      </c>
      <c r="G244" s="26" t="s">
        <v>381</v>
      </c>
      <c r="H244" s="26">
        <f t="shared" si="43"/>
        <v>40.716666666666669</v>
      </c>
      <c r="I244" s="26">
        <f t="shared" si="44"/>
        <v>-77.916666666666671</v>
      </c>
      <c r="J244" s="26">
        <v>350</v>
      </c>
      <c r="N244" s="26">
        <v>975</v>
      </c>
      <c r="P244" s="52" t="s">
        <v>180</v>
      </c>
      <c r="Q244" s="52"/>
      <c r="R244" s="52"/>
      <c r="S244" s="52" t="s">
        <v>1654</v>
      </c>
      <c r="T244" s="52" t="s">
        <v>1654</v>
      </c>
      <c r="X244" s="26" t="s">
        <v>383</v>
      </c>
      <c r="AB244" s="26" t="s">
        <v>1557</v>
      </c>
      <c r="AC244" s="26" t="s">
        <v>1387</v>
      </c>
      <c r="AD244" s="153" t="str">
        <f t="shared" si="36"/>
        <v>Legume</v>
      </c>
      <c r="AE244" s="26" t="s">
        <v>167</v>
      </c>
      <c r="AG244" s="26" t="s">
        <v>382</v>
      </c>
      <c r="AH244" s="26" t="s">
        <v>382</v>
      </c>
      <c r="AI244" s="26" t="s">
        <v>230</v>
      </c>
      <c r="AM244" s="26" t="s">
        <v>384</v>
      </c>
      <c r="AN244" s="26" t="s">
        <v>384</v>
      </c>
      <c r="AO244" s="26" t="s">
        <v>230</v>
      </c>
      <c r="AP244" s="26" t="s">
        <v>208</v>
      </c>
      <c r="AQ244" s="26">
        <v>4</v>
      </c>
      <c r="AR244" s="26">
        <v>4</v>
      </c>
      <c r="AS244" s="26" t="s">
        <v>177</v>
      </c>
      <c r="AU244" s="26">
        <v>2086</v>
      </c>
      <c r="AV244" s="26">
        <v>11.2</v>
      </c>
      <c r="AW244" s="63"/>
      <c r="BB244" s="26">
        <v>8826</v>
      </c>
      <c r="BC244" s="26">
        <v>8165</v>
      </c>
      <c r="BK244" s="26">
        <f t="shared" ref="BK244:BK259" si="48">15.23*0.614</f>
        <v>9.3512199999999996</v>
      </c>
      <c r="BL244" s="26">
        <v>7.31</v>
      </c>
      <c r="BM244" s="26" t="s">
        <v>417</v>
      </c>
      <c r="BP244" s="35" t="s">
        <v>418</v>
      </c>
      <c r="DA244" s="26">
        <v>115.77</v>
      </c>
      <c r="DB244" s="26">
        <v>115.73</v>
      </c>
      <c r="DC244" s="35" t="s">
        <v>388</v>
      </c>
      <c r="DM244" s="26">
        <v>190.68</v>
      </c>
      <c r="DN244" s="26">
        <v>256.60000000000002</v>
      </c>
      <c r="DO244" s="26">
        <f t="shared" si="47"/>
        <v>153.03999999999996</v>
      </c>
      <c r="DS244" s="12"/>
      <c r="DU244" s="15"/>
      <c r="FA244" s="35" t="s">
        <v>418</v>
      </c>
      <c r="FC244" s="26">
        <v>17</v>
      </c>
    </row>
    <row r="245" spans="1:159" s="26" customFormat="1" x14ac:dyDescent="0.25">
      <c r="A245" s="26">
        <v>17</v>
      </c>
      <c r="B245" s="26" t="s">
        <v>379</v>
      </c>
      <c r="C245" s="26" t="s">
        <v>380</v>
      </c>
      <c r="D245" s="26">
        <v>2016</v>
      </c>
      <c r="E245" s="26">
        <v>2012</v>
      </c>
      <c r="F245" s="35" t="s">
        <v>363</v>
      </c>
      <c r="G245" s="26" t="s">
        <v>381</v>
      </c>
      <c r="H245" s="26">
        <f t="shared" si="43"/>
        <v>40.716666666666669</v>
      </c>
      <c r="I245" s="26">
        <f t="shared" si="44"/>
        <v>-77.916666666666671</v>
      </c>
      <c r="J245" s="26">
        <v>350</v>
      </c>
      <c r="N245" s="26">
        <v>975</v>
      </c>
      <c r="P245" s="52" t="s">
        <v>180</v>
      </c>
      <c r="Q245" s="52"/>
      <c r="R245" s="52"/>
      <c r="S245" s="52" t="s">
        <v>1654</v>
      </c>
      <c r="T245" s="52" t="s">
        <v>1654</v>
      </c>
      <c r="X245" s="26" t="s">
        <v>383</v>
      </c>
      <c r="AB245" s="26" t="s">
        <v>1557</v>
      </c>
      <c r="AC245" s="26" t="s">
        <v>1815</v>
      </c>
      <c r="AD245" s="153" t="str">
        <f t="shared" si="36"/>
        <v>red_clover</v>
      </c>
      <c r="AE245" s="26" t="s">
        <v>167</v>
      </c>
      <c r="AG245" s="26" t="s">
        <v>382</v>
      </c>
      <c r="AH245" s="26" t="s">
        <v>382</v>
      </c>
      <c r="AI245" s="26" t="s">
        <v>230</v>
      </c>
      <c r="AM245" s="26" t="s">
        <v>384</v>
      </c>
      <c r="AN245" s="26" t="s">
        <v>384</v>
      </c>
      <c r="AO245" s="26" t="s">
        <v>230</v>
      </c>
      <c r="AP245" s="26" t="s">
        <v>208</v>
      </c>
      <c r="AQ245" s="26">
        <v>4</v>
      </c>
      <c r="AR245" s="26">
        <v>4</v>
      </c>
      <c r="AS245" s="26" t="s">
        <v>177</v>
      </c>
      <c r="AU245" s="26">
        <v>4055</v>
      </c>
      <c r="AV245" s="26">
        <v>14.5</v>
      </c>
      <c r="AW245" s="63"/>
      <c r="BB245" s="26">
        <v>8826</v>
      </c>
      <c r="BC245" s="26">
        <v>10248</v>
      </c>
      <c r="BK245" s="26">
        <f t="shared" si="48"/>
        <v>9.3512199999999996</v>
      </c>
      <c r="BL245" s="26">
        <v>9.85</v>
      </c>
      <c r="BM245" s="26" t="s">
        <v>417</v>
      </c>
      <c r="BP245" s="35" t="s">
        <v>418</v>
      </c>
      <c r="DA245" s="26">
        <v>115.77</v>
      </c>
      <c r="DB245" s="26">
        <v>88.74</v>
      </c>
      <c r="DC245" s="35" t="s">
        <v>388</v>
      </c>
      <c r="DM245" s="26">
        <v>190.68</v>
      </c>
      <c r="DN245" s="26">
        <v>198.69</v>
      </c>
      <c r="DO245" s="26">
        <f t="shared" si="47"/>
        <v>153.03999999999996</v>
      </c>
      <c r="DS245" s="12"/>
      <c r="DU245" s="15"/>
      <c r="FA245" s="35" t="s">
        <v>418</v>
      </c>
      <c r="FC245" s="26">
        <v>17</v>
      </c>
    </row>
    <row r="246" spans="1:159" s="26" customFormat="1" x14ac:dyDescent="0.25">
      <c r="A246" s="26">
        <v>17</v>
      </c>
      <c r="B246" s="26" t="s">
        <v>379</v>
      </c>
      <c r="C246" s="26" t="s">
        <v>380</v>
      </c>
      <c r="D246" s="26">
        <v>2016</v>
      </c>
      <c r="E246" s="26">
        <v>2012</v>
      </c>
      <c r="F246" s="35" t="s">
        <v>363</v>
      </c>
      <c r="G246" s="26" t="s">
        <v>381</v>
      </c>
      <c r="H246" s="26">
        <f t="shared" si="43"/>
        <v>40.716666666666669</v>
      </c>
      <c r="I246" s="26">
        <f t="shared" si="44"/>
        <v>-77.916666666666671</v>
      </c>
      <c r="J246" s="26">
        <v>350</v>
      </c>
      <c r="N246" s="26">
        <v>975</v>
      </c>
      <c r="P246" s="52" t="s">
        <v>180</v>
      </c>
      <c r="Q246" s="52"/>
      <c r="R246" s="52"/>
      <c r="S246" s="52" t="s">
        <v>1654</v>
      </c>
      <c r="T246" s="52" t="s">
        <v>1654</v>
      </c>
      <c r="X246" s="26" t="s">
        <v>383</v>
      </c>
      <c r="AB246" s="26" t="s">
        <v>1557</v>
      </c>
      <c r="AC246" s="26" t="s">
        <v>301</v>
      </c>
      <c r="AD246" s="153" t="str">
        <f t="shared" si="36"/>
        <v>Vetch</v>
      </c>
      <c r="AE246" s="26" t="s">
        <v>167</v>
      </c>
      <c r="AG246" s="26" t="s">
        <v>382</v>
      </c>
      <c r="AH246" s="26" t="s">
        <v>382</v>
      </c>
      <c r="AI246" s="26" t="s">
        <v>230</v>
      </c>
      <c r="AM246" s="26" t="s">
        <v>384</v>
      </c>
      <c r="AN246" s="26" t="s">
        <v>384</v>
      </c>
      <c r="AO246" s="26" t="s">
        <v>230</v>
      </c>
      <c r="AP246" s="26" t="s">
        <v>208</v>
      </c>
      <c r="AQ246" s="26">
        <v>4</v>
      </c>
      <c r="AR246" s="26">
        <v>4</v>
      </c>
      <c r="AS246" s="26" t="s">
        <v>177</v>
      </c>
      <c r="AU246" s="26">
        <v>4038</v>
      </c>
      <c r="AV246" s="26">
        <v>9.9</v>
      </c>
      <c r="AW246" s="63"/>
      <c r="BB246" s="26">
        <v>8826</v>
      </c>
      <c r="BC246" s="26">
        <v>10843</v>
      </c>
      <c r="BK246" s="26">
        <f t="shared" si="48"/>
        <v>9.3512199999999996</v>
      </c>
      <c r="BL246" s="26">
        <v>25.21</v>
      </c>
      <c r="BM246" s="26" t="s">
        <v>417</v>
      </c>
      <c r="BP246" s="35" t="s">
        <v>418</v>
      </c>
      <c r="DA246" s="26">
        <v>115.77</v>
      </c>
      <c r="DB246" s="26">
        <v>49.82</v>
      </c>
      <c r="DC246" s="35" t="s">
        <v>388</v>
      </c>
      <c r="DM246" s="26">
        <v>190.68</v>
      </c>
      <c r="DN246" s="26">
        <v>54.77</v>
      </c>
      <c r="DO246" s="26">
        <f t="shared" si="47"/>
        <v>153.03999999999996</v>
      </c>
      <c r="DS246" s="12"/>
      <c r="DU246" s="15"/>
      <c r="FA246" s="35" t="s">
        <v>418</v>
      </c>
      <c r="FC246" s="26">
        <v>17</v>
      </c>
    </row>
    <row r="247" spans="1:159" s="26" customFormat="1" x14ac:dyDescent="0.25">
      <c r="A247" s="26">
        <v>17</v>
      </c>
      <c r="B247" s="26" t="s">
        <v>379</v>
      </c>
      <c r="C247" s="26" t="s">
        <v>380</v>
      </c>
      <c r="D247" s="26">
        <v>2016</v>
      </c>
      <c r="E247" s="26">
        <v>2012</v>
      </c>
      <c r="F247" s="35" t="s">
        <v>363</v>
      </c>
      <c r="G247" s="26" t="s">
        <v>381</v>
      </c>
      <c r="H247" s="26">
        <f t="shared" si="43"/>
        <v>40.716666666666669</v>
      </c>
      <c r="I247" s="26">
        <f t="shared" si="44"/>
        <v>-77.916666666666671</v>
      </c>
      <c r="J247" s="26">
        <v>350</v>
      </c>
      <c r="N247" s="26">
        <v>975</v>
      </c>
      <c r="P247" s="52" t="s">
        <v>180</v>
      </c>
      <c r="Q247" s="52"/>
      <c r="R247" s="52"/>
      <c r="S247" s="52" t="s">
        <v>1654</v>
      </c>
      <c r="T247" s="52" t="s">
        <v>1654</v>
      </c>
      <c r="X247" s="26" t="s">
        <v>383</v>
      </c>
      <c r="AB247" s="26" t="s">
        <v>1557</v>
      </c>
      <c r="AC247" s="26" t="s">
        <v>1861</v>
      </c>
      <c r="AD247" s="153" t="str">
        <f t="shared" si="36"/>
        <v>Forage_radish</v>
      </c>
      <c r="AE247" s="26" t="s">
        <v>167</v>
      </c>
      <c r="AG247" s="26" t="s">
        <v>382</v>
      </c>
      <c r="AH247" s="26" t="s">
        <v>382</v>
      </c>
      <c r="AI247" s="26" t="s">
        <v>230</v>
      </c>
      <c r="AM247" s="26" t="s">
        <v>384</v>
      </c>
      <c r="AN247" s="26" t="s">
        <v>384</v>
      </c>
      <c r="AO247" s="26" t="s">
        <v>230</v>
      </c>
      <c r="AP247" s="26" t="s">
        <v>208</v>
      </c>
      <c r="AQ247" s="26">
        <v>4</v>
      </c>
      <c r="AR247" s="26">
        <v>4</v>
      </c>
      <c r="AS247" s="26" t="s">
        <v>177</v>
      </c>
      <c r="AU247" s="26">
        <v>3122</v>
      </c>
      <c r="AV247" s="26">
        <v>15.1</v>
      </c>
      <c r="AW247" s="63"/>
      <c r="BB247" s="26">
        <v>8826</v>
      </c>
      <c r="BC247" s="26">
        <v>8793</v>
      </c>
      <c r="BK247" s="26">
        <f t="shared" si="48"/>
        <v>9.3512199999999996</v>
      </c>
      <c r="BL247" s="26">
        <v>6.79</v>
      </c>
      <c r="BM247" s="26" t="s">
        <v>417</v>
      </c>
      <c r="BP247" s="35" t="s">
        <v>418</v>
      </c>
      <c r="DA247" s="26">
        <v>115.77</v>
      </c>
      <c r="DB247" s="26">
        <v>45.38</v>
      </c>
      <c r="DC247" s="35" t="s">
        <v>388</v>
      </c>
      <c r="DM247" s="26">
        <v>190.68</v>
      </c>
      <c r="DN247" s="26">
        <v>25.553000000000001</v>
      </c>
      <c r="DO247" s="26">
        <f t="shared" si="47"/>
        <v>153.03999999999996</v>
      </c>
      <c r="DS247" s="12"/>
      <c r="DU247" s="15"/>
      <c r="FA247" s="35" t="s">
        <v>418</v>
      </c>
      <c r="FC247" s="26">
        <v>17</v>
      </c>
    </row>
    <row r="248" spans="1:159" s="26" customFormat="1" x14ac:dyDescent="0.25">
      <c r="A248" s="26">
        <v>17</v>
      </c>
      <c r="B248" s="26" t="s">
        <v>379</v>
      </c>
      <c r="C248" s="26" t="s">
        <v>380</v>
      </c>
      <c r="D248" s="26">
        <v>2016</v>
      </c>
      <c r="E248" s="26">
        <v>2012</v>
      </c>
      <c r="F248" s="35" t="s">
        <v>363</v>
      </c>
      <c r="G248" s="26" t="s">
        <v>381</v>
      </c>
      <c r="H248" s="26">
        <f t="shared" si="43"/>
        <v>40.716666666666669</v>
      </c>
      <c r="I248" s="26">
        <f t="shared" si="44"/>
        <v>-77.916666666666671</v>
      </c>
      <c r="J248" s="26">
        <v>350</v>
      </c>
      <c r="N248" s="26">
        <v>975</v>
      </c>
      <c r="P248" s="52" t="s">
        <v>180</v>
      </c>
      <c r="Q248" s="52"/>
      <c r="R248" s="52"/>
      <c r="S248" s="52" t="s">
        <v>1654</v>
      </c>
      <c r="T248" s="52" t="s">
        <v>1654</v>
      </c>
      <c r="X248" s="26" t="s">
        <v>383</v>
      </c>
      <c r="AB248" s="26" t="s">
        <v>1557</v>
      </c>
      <c r="AC248" s="26" t="s">
        <v>638</v>
      </c>
      <c r="AD248" s="153" t="str">
        <f t="shared" si="36"/>
        <v>Oat</v>
      </c>
      <c r="AE248" s="26" t="s">
        <v>167</v>
      </c>
      <c r="AG248" s="26" t="s">
        <v>382</v>
      </c>
      <c r="AH248" s="26" t="s">
        <v>382</v>
      </c>
      <c r="AI248" s="26" t="s">
        <v>230</v>
      </c>
      <c r="AM248" s="26" t="s">
        <v>384</v>
      </c>
      <c r="AN248" s="26" t="s">
        <v>384</v>
      </c>
      <c r="AO248" s="26" t="s">
        <v>230</v>
      </c>
      <c r="AP248" s="26" t="s">
        <v>208</v>
      </c>
      <c r="AQ248" s="26">
        <v>4</v>
      </c>
      <c r="AR248" s="26">
        <v>4</v>
      </c>
      <c r="AS248" s="26" t="s">
        <v>177</v>
      </c>
      <c r="AU248" s="26">
        <v>2847</v>
      </c>
      <c r="AV248" s="26">
        <v>23</v>
      </c>
      <c r="AW248" s="63"/>
      <c r="BB248" s="26">
        <v>8826</v>
      </c>
      <c r="BC248" s="26">
        <v>7934</v>
      </c>
      <c r="BK248" s="26">
        <f t="shared" si="48"/>
        <v>9.3512199999999996</v>
      </c>
      <c r="BL248" s="26">
        <v>8.1</v>
      </c>
      <c r="BM248" s="26" t="s">
        <v>417</v>
      </c>
      <c r="BP248" s="35" t="s">
        <v>418</v>
      </c>
      <c r="DA248" s="26">
        <v>115.77</v>
      </c>
      <c r="DB248" s="26">
        <v>29</v>
      </c>
      <c r="DC248" s="35" t="s">
        <v>388</v>
      </c>
      <c r="DM248" s="26">
        <v>190.68</v>
      </c>
      <c r="DN248" s="26">
        <v>82.42</v>
      </c>
      <c r="DO248" s="26">
        <f t="shared" si="47"/>
        <v>153.03999999999996</v>
      </c>
      <c r="DS248" s="12"/>
      <c r="DU248" s="15"/>
      <c r="FA248" s="35" t="s">
        <v>418</v>
      </c>
      <c r="FC248" s="26">
        <v>17</v>
      </c>
    </row>
    <row r="249" spans="1:159" s="26" customFormat="1" x14ac:dyDescent="0.25">
      <c r="A249" s="26">
        <v>17</v>
      </c>
      <c r="B249" s="26" t="s">
        <v>379</v>
      </c>
      <c r="C249" s="26" t="s">
        <v>380</v>
      </c>
      <c r="D249" s="26">
        <v>2016</v>
      </c>
      <c r="E249" s="26">
        <v>2012</v>
      </c>
      <c r="F249" s="35" t="s">
        <v>363</v>
      </c>
      <c r="G249" s="26" t="s">
        <v>381</v>
      </c>
      <c r="H249" s="26">
        <f t="shared" si="43"/>
        <v>40.716666666666669</v>
      </c>
      <c r="I249" s="26">
        <f t="shared" si="44"/>
        <v>-77.916666666666671</v>
      </c>
      <c r="J249" s="26">
        <v>350</v>
      </c>
      <c r="N249" s="26">
        <v>975</v>
      </c>
      <c r="P249" s="52" t="s">
        <v>180</v>
      </c>
      <c r="Q249" s="52"/>
      <c r="R249" s="52"/>
      <c r="S249" s="52" t="s">
        <v>1654</v>
      </c>
      <c r="T249" s="52" t="s">
        <v>1654</v>
      </c>
      <c r="X249" s="26" t="s">
        <v>383</v>
      </c>
      <c r="AB249" s="26" t="s">
        <v>1557</v>
      </c>
      <c r="AC249" s="26" t="s">
        <v>641</v>
      </c>
      <c r="AD249" s="153" t="str">
        <f t="shared" si="36"/>
        <v>Canola</v>
      </c>
      <c r="AE249" s="26" t="s">
        <v>167</v>
      </c>
      <c r="AG249" s="26" t="s">
        <v>382</v>
      </c>
      <c r="AH249" s="26" t="s">
        <v>382</v>
      </c>
      <c r="AI249" s="26" t="s">
        <v>230</v>
      </c>
      <c r="AM249" s="26" t="s">
        <v>384</v>
      </c>
      <c r="AN249" s="26" t="s">
        <v>384</v>
      </c>
      <c r="AO249" s="26" t="s">
        <v>230</v>
      </c>
      <c r="AP249" s="26" t="s">
        <v>208</v>
      </c>
      <c r="AQ249" s="26">
        <v>4</v>
      </c>
      <c r="AR249" s="26">
        <v>4</v>
      </c>
      <c r="AS249" s="26" t="s">
        <v>177</v>
      </c>
      <c r="AU249" s="26">
        <v>7842</v>
      </c>
      <c r="AV249" s="26">
        <v>24</v>
      </c>
      <c r="AW249" s="63"/>
      <c r="BB249" s="26">
        <v>8826</v>
      </c>
      <c r="BC249" s="26">
        <v>7074</v>
      </c>
      <c r="BK249" s="26">
        <f t="shared" si="48"/>
        <v>9.3512199999999996</v>
      </c>
      <c r="BL249" s="26">
        <v>7.89</v>
      </c>
      <c r="BM249" s="26" t="s">
        <v>417</v>
      </c>
      <c r="BP249" s="35" t="s">
        <v>418</v>
      </c>
      <c r="DA249" s="26">
        <v>115.77</v>
      </c>
      <c r="DB249" s="26">
        <v>15.72</v>
      </c>
      <c r="DC249" s="35" t="s">
        <v>388</v>
      </c>
      <c r="DM249" s="26">
        <v>190.68</v>
      </c>
      <c r="DN249" s="26">
        <v>24.5</v>
      </c>
      <c r="DO249" s="26">
        <f t="shared" si="47"/>
        <v>153.03999999999996</v>
      </c>
      <c r="DS249" s="12"/>
      <c r="DU249" s="15"/>
      <c r="FA249" s="35" t="s">
        <v>418</v>
      </c>
      <c r="FC249" s="26">
        <v>17</v>
      </c>
    </row>
    <row r="250" spans="1:159" s="26" customFormat="1" x14ac:dyDescent="0.25">
      <c r="A250" s="26">
        <v>17</v>
      </c>
      <c r="B250" s="26" t="s">
        <v>379</v>
      </c>
      <c r="C250" s="26" t="s">
        <v>380</v>
      </c>
      <c r="D250" s="26">
        <v>2016</v>
      </c>
      <c r="E250" s="26">
        <v>2012</v>
      </c>
      <c r="F250" s="35" t="s">
        <v>363</v>
      </c>
      <c r="G250" s="26" t="s">
        <v>381</v>
      </c>
      <c r="H250" s="26">
        <f t="shared" si="43"/>
        <v>40.716666666666669</v>
      </c>
      <c r="I250" s="26">
        <f t="shared" si="44"/>
        <v>-77.916666666666671</v>
      </c>
      <c r="J250" s="26">
        <v>350</v>
      </c>
      <c r="N250" s="26">
        <v>975</v>
      </c>
      <c r="P250" s="52" t="s">
        <v>180</v>
      </c>
      <c r="Q250" s="52"/>
      <c r="R250" s="52"/>
      <c r="S250" s="52" t="s">
        <v>1654</v>
      </c>
      <c r="T250" s="52" t="s">
        <v>1654</v>
      </c>
      <c r="X250" s="26" t="s">
        <v>383</v>
      </c>
      <c r="AB250" s="26" t="s">
        <v>1557</v>
      </c>
      <c r="AC250" s="26" t="s">
        <v>166</v>
      </c>
      <c r="AD250" s="153" t="str">
        <f t="shared" si="36"/>
        <v>Rye</v>
      </c>
      <c r="AE250" s="26" t="s">
        <v>167</v>
      </c>
      <c r="AG250" s="26" t="s">
        <v>382</v>
      </c>
      <c r="AH250" s="26" t="s">
        <v>382</v>
      </c>
      <c r="AI250" s="26" t="s">
        <v>230</v>
      </c>
      <c r="AM250" s="26" t="s">
        <v>384</v>
      </c>
      <c r="AN250" s="26" t="s">
        <v>384</v>
      </c>
      <c r="AO250" s="26" t="s">
        <v>230</v>
      </c>
      <c r="AP250" s="26" t="s">
        <v>208</v>
      </c>
      <c r="AQ250" s="26">
        <v>4</v>
      </c>
      <c r="AR250" s="26">
        <v>4</v>
      </c>
      <c r="AS250" s="26" t="s">
        <v>177</v>
      </c>
      <c r="AU250" s="26">
        <v>9675</v>
      </c>
      <c r="AV250" s="26">
        <v>46.2</v>
      </c>
      <c r="AW250" s="63"/>
      <c r="BB250" s="26">
        <v>8826</v>
      </c>
      <c r="BC250" s="26">
        <v>2578</v>
      </c>
      <c r="BK250" s="26">
        <f t="shared" si="48"/>
        <v>9.3512199999999996</v>
      </c>
      <c r="BL250" s="26">
        <v>1.88</v>
      </c>
      <c r="BM250" s="26" t="s">
        <v>417</v>
      </c>
      <c r="BP250" s="35" t="s">
        <v>418</v>
      </c>
      <c r="DA250" s="26">
        <v>115.77</v>
      </c>
      <c r="DB250" s="26">
        <v>10.39</v>
      </c>
      <c r="DC250" s="35" t="s">
        <v>388</v>
      </c>
      <c r="DM250" s="26">
        <v>190.68</v>
      </c>
      <c r="DN250" s="26">
        <v>24</v>
      </c>
      <c r="DO250" s="26">
        <f t="shared" si="47"/>
        <v>153.03999999999996</v>
      </c>
      <c r="DS250" s="12"/>
      <c r="DU250" s="15"/>
      <c r="FA250" s="35" t="s">
        <v>418</v>
      </c>
      <c r="FC250" s="26">
        <v>17</v>
      </c>
    </row>
    <row r="251" spans="1:159" s="26" customFormat="1" x14ac:dyDescent="0.25">
      <c r="A251" s="26">
        <v>17</v>
      </c>
      <c r="B251" s="26" t="s">
        <v>379</v>
      </c>
      <c r="C251" s="26" t="s">
        <v>380</v>
      </c>
      <c r="D251" s="26">
        <v>2016</v>
      </c>
      <c r="E251" s="26">
        <v>2012</v>
      </c>
      <c r="F251" s="35" t="s">
        <v>363</v>
      </c>
      <c r="G251" s="26" t="s">
        <v>381</v>
      </c>
      <c r="H251" s="26">
        <f t="shared" si="43"/>
        <v>40.716666666666669</v>
      </c>
      <c r="I251" s="26">
        <f t="shared" si="44"/>
        <v>-77.916666666666671</v>
      </c>
      <c r="J251" s="26">
        <v>350</v>
      </c>
      <c r="N251" s="26">
        <v>975</v>
      </c>
      <c r="P251" s="52" t="s">
        <v>180</v>
      </c>
      <c r="Q251" s="52"/>
      <c r="R251" s="52"/>
      <c r="S251" s="52" t="s">
        <v>1654</v>
      </c>
      <c r="T251" s="52" t="s">
        <v>1654</v>
      </c>
      <c r="X251" s="26" t="s">
        <v>383</v>
      </c>
      <c r="AB251" s="26" t="s">
        <v>1557</v>
      </c>
      <c r="AC251" s="26" t="s">
        <v>1786</v>
      </c>
      <c r="AD251" s="153" t="str">
        <f t="shared" si="36"/>
        <v>FR/OA/FM/SS</v>
      </c>
      <c r="AE251" s="26" t="s">
        <v>167</v>
      </c>
      <c r="AG251" s="26" t="s">
        <v>382</v>
      </c>
      <c r="AH251" s="26" t="s">
        <v>382</v>
      </c>
      <c r="AI251" s="26" t="s">
        <v>230</v>
      </c>
      <c r="AM251" s="26" t="s">
        <v>384</v>
      </c>
      <c r="AN251" s="26" t="s">
        <v>384</v>
      </c>
      <c r="AO251" s="26" t="s">
        <v>230</v>
      </c>
      <c r="AP251" s="26" t="s">
        <v>208</v>
      </c>
      <c r="AQ251" s="26">
        <v>4</v>
      </c>
      <c r="AR251" s="26">
        <v>4</v>
      </c>
      <c r="AS251" s="26" t="s">
        <v>177</v>
      </c>
      <c r="AU251" s="26">
        <v>2447</v>
      </c>
      <c r="AV251" s="26">
        <v>18.5</v>
      </c>
      <c r="AW251" s="63"/>
      <c r="BB251" s="26">
        <v>8826</v>
      </c>
      <c r="BC251" s="26">
        <v>8694</v>
      </c>
      <c r="BK251" s="26">
        <f t="shared" si="48"/>
        <v>9.3512199999999996</v>
      </c>
      <c r="BL251" s="26">
        <v>8.09</v>
      </c>
      <c r="BM251" s="26" t="s">
        <v>417</v>
      </c>
      <c r="BP251" s="35" t="s">
        <v>418</v>
      </c>
      <c r="DA251" s="26">
        <v>115.77</v>
      </c>
      <c r="DB251" s="26">
        <v>104.07</v>
      </c>
      <c r="DC251" s="35" t="s">
        <v>388</v>
      </c>
      <c r="DM251" s="26">
        <v>190.68</v>
      </c>
      <c r="DN251" s="26">
        <v>52.19</v>
      </c>
      <c r="DO251" s="26">
        <f t="shared" si="47"/>
        <v>153.03999999999996</v>
      </c>
      <c r="DS251" s="12"/>
      <c r="DU251" s="15"/>
      <c r="FA251" s="35" t="s">
        <v>418</v>
      </c>
      <c r="FC251" s="26">
        <v>17</v>
      </c>
    </row>
    <row r="252" spans="1:159" s="26" customFormat="1" x14ac:dyDescent="0.25">
      <c r="A252" s="26">
        <v>17</v>
      </c>
      <c r="B252" s="26" t="s">
        <v>379</v>
      </c>
      <c r="C252" s="26" t="s">
        <v>380</v>
      </c>
      <c r="D252" s="26">
        <v>2016</v>
      </c>
      <c r="E252" s="26">
        <v>2012</v>
      </c>
      <c r="F252" s="35" t="s">
        <v>363</v>
      </c>
      <c r="G252" s="26" t="s">
        <v>381</v>
      </c>
      <c r="H252" s="26">
        <f t="shared" si="43"/>
        <v>40.716666666666669</v>
      </c>
      <c r="I252" s="26">
        <f t="shared" si="44"/>
        <v>-77.916666666666671</v>
      </c>
      <c r="J252" s="26">
        <v>350</v>
      </c>
      <c r="N252" s="26">
        <v>975</v>
      </c>
      <c r="P252" s="52" t="s">
        <v>180</v>
      </c>
      <c r="Q252" s="52"/>
      <c r="R252" s="52"/>
      <c r="S252" s="52" t="s">
        <v>1654</v>
      </c>
      <c r="T252" s="52" t="s">
        <v>1654</v>
      </c>
      <c r="X252" s="26" t="s">
        <v>383</v>
      </c>
      <c r="AB252" s="26" t="s">
        <v>1557</v>
      </c>
      <c r="AC252" s="26" t="s">
        <v>1787</v>
      </c>
      <c r="AD252" s="153" t="str">
        <f t="shared" si="36"/>
        <v>CA/CR/BA/RG</v>
      </c>
      <c r="AE252" s="26" t="s">
        <v>167</v>
      </c>
      <c r="AG252" s="26" t="s">
        <v>382</v>
      </c>
      <c r="AH252" s="26" t="s">
        <v>382</v>
      </c>
      <c r="AI252" s="26" t="s">
        <v>230</v>
      </c>
      <c r="AM252" s="26" t="s">
        <v>384</v>
      </c>
      <c r="AN252" s="26" t="s">
        <v>384</v>
      </c>
      <c r="AO252" s="26" t="s">
        <v>230</v>
      </c>
      <c r="AP252" s="26" t="s">
        <v>208</v>
      </c>
      <c r="AQ252" s="26">
        <v>4</v>
      </c>
      <c r="AR252" s="26">
        <v>4</v>
      </c>
      <c r="AS252" s="26" t="s">
        <v>177</v>
      </c>
      <c r="AU252" s="26">
        <v>7425</v>
      </c>
      <c r="AV252" s="26">
        <v>40.799999999999997</v>
      </c>
      <c r="AW252" s="63"/>
      <c r="BB252" s="26">
        <v>8826</v>
      </c>
      <c r="BC252" s="26">
        <v>2876</v>
      </c>
      <c r="BK252" s="26">
        <f t="shared" si="48"/>
        <v>9.3512199999999996</v>
      </c>
      <c r="BL252" s="26">
        <v>2.48</v>
      </c>
      <c r="BM252" s="26" t="s">
        <v>417</v>
      </c>
      <c r="BP252" s="35" t="s">
        <v>418</v>
      </c>
      <c r="DA252" s="26">
        <v>115.77</v>
      </c>
      <c r="DB252" s="26">
        <v>9.9</v>
      </c>
      <c r="DC252" s="35" t="s">
        <v>388</v>
      </c>
      <c r="DM252" s="26">
        <v>190.68</v>
      </c>
      <c r="DN252" s="26">
        <v>14</v>
      </c>
      <c r="DO252" s="26">
        <f t="shared" si="47"/>
        <v>153.03999999999996</v>
      </c>
      <c r="DS252" s="12"/>
      <c r="DU252" s="15"/>
      <c r="FA252" s="35" t="s">
        <v>418</v>
      </c>
      <c r="FC252" s="26">
        <v>17</v>
      </c>
    </row>
    <row r="253" spans="1:159" s="26" customFormat="1" x14ac:dyDescent="0.25">
      <c r="A253" s="26">
        <v>17</v>
      </c>
      <c r="B253" s="26" t="s">
        <v>379</v>
      </c>
      <c r="C253" s="26" t="s">
        <v>380</v>
      </c>
      <c r="D253" s="26">
        <v>2016</v>
      </c>
      <c r="E253" s="26">
        <v>2012</v>
      </c>
      <c r="F253" s="35" t="s">
        <v>363</v>
      </c>
      <c r="G253" s="26" t="s">
        <v>381</v>
      </c>
      <c r="H253" s="26">
        <f t="shared" si="43"/>
        <v>40.716666666666669</v>
      </c>
      <c r="I253" s="26">
        <f t="shared" si="44"/>
        <v>-77.916666666666671</v>
      </c>
      <c r="J253" s="26">
        <v>350</v>
      </c>
      <c r="N253" s="26">
        <v>975</v>
      </c>
      <c r="P253" s="52" t="s">
        <v>180</v>
      </c>
      <c r="Q253" s="52"/>
      <c r="R253" s="52"/>
      <c r="S253" s="52" t="s">
        <v>1654</v>
      </c>
      <c r="T253" s="52" t="s">
        <v>1654</v>
      </c>
      <c r="X253" s="26" t="s">
        <v>383</v>
      </c>
      <c r="AB253" s="26" t="s">
        <v>1557</v>
      </c>
      <c r="AC253" s="26" t="s">
        <v>1788</v>
      </c>
      <c r="AD253" s="153" t="str">
        <f t="shared" si="36"/>
        <v>FR/OA/CA/CR</v>
      </c>
      <c r="AE253" s="26" t="s">
        <v>167</v>
      </c>
      <c r="AG253" s="26" t="s">
        <v>382</v>
      </c>
      <c r="AH253" s="26" t="s">
        <v>382</v>
      </c>
      <c r="AI253" s="26" t="s">
        <v>230</v>
      </c>
      <c r="AM253" s="26" t="s">
        <v>384</v>
      </c>
      <c r="AN253" s="26" t="s">
        <v>384</v>
      </c>
      <c r="AO253" s="26" t="s">
        <v>230</v>
      </c>
      <c r="AP253" s="26" t="s">
        <v>208</v>
      </c>
      <c r="AQ253" s="26">
        <v>4</v>
      </c>
      <c r="AR253" s="26">
        <v>4</v>
      </c>
      <c r="AS253" s="26" t="s">
        <v>177</v>
      </c>
      <c r="AU253" s="26">
        <v>6998</v>
      </c>
      <c r="AV253" s="26">
        <v>33.700000000000003</v>
      </c>
      <c r="AW253" s="63"/>
      <c r="BB253" s="26">
        <v>8826</v>
      </c>
      <c r="BC253" s="26">
        <v>3636</v>
      </c>
      <c r="BK253" s="26">
        <f t="shared" si="48"/>
        <v>9.3512199999999996</v>
      </c>
      <c r="BL253" s="26">
        <v>2.27</v>
      </c>
      <c r="BM253" s="26" t="s">
        <v>417</v>
      </c>
      <c r="BP253" s="35" t="s">
        <v>418</v>
      </c>
      <c r="DA253" s="26">
        <v>115.77</v>
      </c>
      <c r="DB253" s="26">
        <v>5.46</v>
      </c>
      <c r="DC253" s="35" t="s">
        <v>388</v>
      </c>
      <c r="DM253" s="26">
        <v>190.68</v>
      </c>
      <c r="DN253" s="26">
        <v>22</v>
      </c>
      <c r="DO253" s="26">
        <f t="shared" si="47"/>
        <v>153.03999999999996</v>
      </c>
      <c r="DS253" s="12"/>
      <c r="DU253" s="15"/>
      <c r="FA253" s="35" t="s">
        <v>418</v>
      </c>
      <c r="FC253" s="26">
        <v>17</v>
      </c>
    </row>
    <row r="254" spans="1:159" s="26" customFormat="1" x14ac:dyDescent="0.25">
      <c r="A254" s="26">
        <v>17</v>
      </c>
      <c r="B254" s="26" t="s">
        <v>379</v>
      </c>
      <c r="C254" s="26" t="s">
        <v>380</v>
      </c>
      <c r="D254" s="26">
        <v>2016</v>
      </c>
      <c r="E254" s="26">
        <v>2012</v>
      </c>
      <c r="F254" s="35" t="s">
        <v>363</v>
      </c>
      <c r="G254" s="26" t="s">
        <v>381</v>
      </c>
      <c r="H254" s="26">
        <f t="shared" si="43"/>
        <v>40.716666666666669</v>
      </c>
      <c r="I254" s="26">
        <f t="shared" si="44"/>
        <v>-77.916666666666671</v>
      </c>
      <c r="J254" s="26">
        <v>350</v>
      </c>
      <c r="N254" s="26">
        <v>975</v>
      </c>
      <c r="P254" s="52" t="s">
        <v>180</v>
      </c>
      <c r="Q254" s="52"/>
      <c r="R254" s="52"/>
      <c r="S254" s="52" t="s">
        <v>1654</v>
      </c>
      <c r="T254" s="52" t="s">
        <v>1654</v>
      </c>
      <c r="X254" s="26" t="s">
        <v>383</v>
      </c>
      <c r="AB254" s="26" t="s">
        <v>1557</v>
      </c>
      <c r="AC254" s="26" t="s">
        <v>1789</v>
      </c>
      <c r="AD254" s="153" t="str">
        <f t="shared" si="36"/>
        <v>SH/SB/FR/OA</v>
      </c>
      <c r="AE254" s="26" t="s">
        <v>167</v>
      </c>
      <c r="AG254" s="26" t="s">
        <v>382</v>
      </c>
      <c r="AH254" s="26" t="s">
        <v>382</v>
      </c>
      <c r="AI254" s="26" t="s">
        <v>230</v>
      </c>
      <c r="AM254" s="26" t="s">
        <v>384</v>
      </c>
      <c r="AN254" s="26" t="s">
        <v>384</v>
      </c>
      <c r="AO254" s="26" t="s">
        <v>230</v>
      </c>
      <c r="AP254" s="26" t="s">
        <v>208</v>
      </c>
      <c r="AQ254" s="26">
        <v>4</v>
      </c>
      <c r="AR254" s="26">
        <v>4</v>
      </c>
      <c r="AS254" s="26" t="s">
        <v>177</v>
      </c>
      <c r="AU254" s="26">
        <v>2814</v>
      </c>
      <c r="AV254" s="26">
        <v>18</v>
      </c>
      <c r="AW254" s="63"/>
      <c r="BB254" s="26">
        <v>8826</v>
      </c>
      <c r="BC254" s="26">
        <v>10248</v>
      </c>
      <c r="BK254" s="26">
        <f t="shared" si="48"/>
        <v>9.3512199999999996</v>
      </c>
      <c r="BL254" s="26">
        <v>8.99</v>
      </c>
      <c r="BM254" s="26" t="s">
        <v>417</v>
      </c>
      <c r="BP254" s="35" t="s">
        <v>418</v>
      </c>
      <c r="DA254" s="26">
        <v>115.77</v>
      </c>
      <c r="DB254" s="26">
        <v>45.21</v>
      </c>
      <c r="DC254" s="35" t="s">
        <v>388</v>
      </c>
      <c r="DM254" s="26">
        <v>190.68</v>
      </c>
      <c r="DN254" s="26">
        <v>69.8</v>
      </c>
      <c r="DO254" s="26">
        <f t="shared" si="47"/>
        <v>153.03999999999996</v>
      </c>
      <c r="DS254" s="12"/>
      <c r="DU254" s="15"/>
      <c r="FA254" s="35" t="s">
        <v>418</v>
      </c>
      <c r="FC254" s="26">
        <v>17</v>
      </c>
    </row>
    <row r="255" spans="1:159" s="26" customFormat="1" x14ac:dyDescent="0.25">
      <c r="A255" s="26">
        <v>17</v>
      </c>
      <c r="B255" s="26" t="s">
        <v>379</v>
      </c>
      <c r="C255" s="26" t="s">
        <v>380</v>
      </c>
      <c r="D255" s="26">
        <v>2016</v>
      </c>
      <c r="E255" s="26">
        <v>2012</v>
      </c>
      <c r="F255" s="35" t="s">
        <v>363</v>
      </c>
      <c r="G255" s="26" t="s">
        <v>381</v>
      </c>
      <c r="H255" s="26">
        <f t="shared" si="43"/>
        <v>40.716666666666669</v>
      </c>
      <c r="I255" s="26">
        <f t="shared" si="44"/>
        <v>-77.916666666666671</v>
      </c>
      <c r="J255" s="26">
        <v>350</v>
      </c>
      <c r="N255" s="26">
        <v>975</v>
      </c>
      <c r="P255" s="52" t="s">
        <v>180</v>
      </c>
      <c r="Q255" s="52"/>
      <c r="R255" s="52"/>
      <c r="S255" s="52" t="s">
        <v>1654</v>
      </c>
      <c r="T255" s="52" t="s">
        <v>1654</v>
      </c>
      <c r="X255" s="26" t="s">
        <v>383</v>
      </c>
      <c r="AB255" s="26" t="s">
        <v>1557</v>
      </c>
      <c r="AC255" s="26" t="s">
        <v>1790</v>
      </c>
      <c r="AD255" s="153" t="str">
        <f t="shared" si="36"/>
        <v>RC/HV/CA/CR</v>
      </c>
      <c r="AE255" s="26" t="s">
        <v>167</v>
      </c>
      <c r="AG255" s="26" t="s">
        <v>382</v>
      </c>
      <c r="AH255" s="26" t="s">
        <v>382</v>
      </c>
      <c r="AI255" s="26" t="s">
        <v>230</v>
      </c>
      <c r="AM255" s="26" t="s">
        <v>384</v>
      </c>
      <c r="AN255" s="26" t="s">
        <v>384</v>
      </c>
      <c r="AO255" s="26" t="s">
        <v>230</v>
      </c>
      <c r="AP255" s="26" t="s">
        <v>208</v>
      </c>
      <c r="AQ255" s="26">
        <v>4</v>
      </c>
      <c r="AR255" s="26">
        <v>4</v>
      </c>
      <c r="AS255" s="26" t="s">
        <v>177</v>
      </c>
      <c r="AU255" s="26">
        <v>9531</v>
      </c>
      <c r="AV255" s="26">
        <v>30.7</v>
      </c>
      <c r="AW255" s="63"/>
      <c r="BB255" s="26">
        <v>8826</v>
      </c>
      <c r="BC255" s="26">
        <v>6248</v>
      </c>
      <c r="BK255" s="26">
        <f t="shared" si="48"/>
        <v>9.3512199999999996</v>
      </c>
      <c r="BL255" s="26">
        <v>6.74</v>
      </c>
      <c r="BM255" s="26" t="s">
        <v>417</v>
      </c>
      <c r="BP255" s="35" t="s">
        <v>418</v>
      </c>
      <c r="DA255" s="26">
        <v>115.77</v>
      </c>
      <c r="DB255" s="26">
        <v>14.25</v>
      </c>
      <c r="DC255" s="35" t="s">
        <v>388</v>
      </c>
      <c r="DM255" s="26">
        <v>190.68</v>
      </c>
      <c r="DN255" s="26">
        <v>21.63</v>
      </c>
      <c r="DO255" s="26">
        <f t="shared" si="47"/>
        <v>153.03999999999996</v>
      </c>
      <c r="DS255" s="12"/>
      <c r="DU255" s="15"/>
      <c r="FA255" s="35" t="s">
        <v>418</v>
      </c>
      <c r="FC255" s="26">
        <v>17</v>
      </c>
    </row>
    <row r="256" spans="1:159" s="26" customFormat="1" x14ac:dyDescent="0.25">
      <c r="A256" s="26">
        <v>17</v>
      </c>
      <c r="B256" s="26" t="s">
        <v>379</v>
      </c>
      <c r="C256" s="26" t="s">
        <v>380</v>
      </c>
      <c r="D256" s="26">
        <v>2016</v>
      </c>
      <c r="E256" s="26">
        <v>2012</v>
      </c>
      <c r="F256" s="35" t="s">
        <v>363</v>
      </c>
      <c r="G256" s="26" t="s">
        <v>381</v>
      </c>
      <c r="H256" s="26">
        <f t="shared" si="43"/>
        <v>40.716666666666669</v>
      </c>
      <c r="I256" s="26">
        <f t="shared" si="44"/>
        <v>-77.916666666666671</v>
      </c>
      <c r="J256" s="26">
        <v>350</v>
      </c>
      <c r="N256" s="26">
        <v>975</v>
      </c>
      <c r="P256" s="52" t="s">
        <v>180</v>
      </c>
      <c r="Q256" s="52"/>
      <c r="R256" s="52"/>
      <c r="S256" s="52" t="s">
        <v>1654</v>
      </c>
      <c r="T256" s="52" t="s">
        <v>1654</v>
      </c>
      <c r="X256" s="26" t="s">
        <v>383</v>
      </c>
      <c r="AB256" s="26" t="s">
        <v>1557</v>
      </c>
      <c r="AC256" s="26" t="s">
        <v>1791</v>
      </c>
      <c r="AD256" s="153" t="str">
        <f t="shared" si="36"/>
        <v>SH/SB/CA/CR</v>
      </c>
      <c r="AE256" s="26" t="s">
        <v>167</v>
      </c>
      <c r="AG256" s="26" t="s">
        <v>382</v>
      </c>
      <c r="AH256" s="26" t="s">
        <v>382</v>
      </c>
      <c r="AI256" s="26" t="s">
        <v>230</v>
      </c>
      <c r="AM256" s="26" t="s">
        <v>384</v>
      </c>
      <c r="AN256" s="26" t="s">
        <v>384</v>
      </c>
      <c r="AO256" s="26" t="s">
        <v>230</v>
      </c>
      <c r="AP256" s="26" t="s">
        <v>208</v>
      </c>
      <c r="AQ256" s="26">
        <v>4</v>
      </c>
      <c r="AR256" s="26">
        <v>4</v>
      </c>
      <c r="AS256" s="26" t="s">
        <v>177</v>
      </c>
      <c r="AU256" s="26">
        <v>9194</v>
      </c>
      <c r="AV256" s="26">
        <v>40.200000000000003</v>
      </c>
      <c r="AW256" s="63"/>
      <c r="BB256" s="26">
        <v>8826</v>
      </c>
      <c r="BC256" s="26">
        <v>3273</v>
      </c>
      <c r="BK256" s="26">
        <f t="shared" si="48"/>
        <v>9.3512199999999996</v>
      </c>
      <c r="BL256" s="26">
        <v>3.17</v>
      </c>
      <c r="BM256" s="26" t="s">
        <v>417</v>
      </c>
      <c r="BP256" s="35" t="s">
        <v>418</v>
      </c>
      <c r="DA256" s="26">
        <v>115.77</v>
      </c>
      <c r="DB256" s="26">
        <v>13.79</v>
      </c>
      <c r="DC256" s="35" t="s">
        <v>388</v>
      </c>
      <c r="DM256" s="26">
        <v>190.68</v>
      </c>
      <c r="DN256" s="26">
        <v>11.57</v>
      </c>
      <c r="DO256" s="26">
        <f t="shared" si="47"/>
        <v>153.03999999999996</v>
      </c>
      <c r="DS256" s="12"/>
      <c r="DU256" s="15"/>
      <c r="FA256" s="35" t="s">
        <v>418</v>
      </c>
      <c r="FC256" s="26">
        <v>17</v>
      </c>
    </row>
    <row r="257" spans="1:159" s="26" customFormat="1" x14ac:dyDescent="0.25">
      <c r="A257" s="26">
        <v>17</v>
      </c>
      <c r="B257" s="26" t="s">
        <v>379</v>
      </c>
      <c r="C257" s="26" t="s">
        <v>380</v>
      </c>
      <c r="D257" s="26">
        <v>2016</v>
      </c>
      <c r="E257" s="26">
        <v>2012</v>
      </c>
      <c r="F257" s="35" t="s">
        <v>363</v>
      </c>
      <c r="G257" s="26" t="s">
        <v>381</v>
      </c>
      <c r="H257" s="26">
        <f t="shared" si="43"/>
        <v>40.716666666666669</v>
      </c>
      <c r="I257" s="26">
        <f t="shared" si="44"/>
        <v>-77.916666666666671</v>
      </c>
      <c r="J257" s="26">
        <v>350</v>
      </c>
      <c r="N257" s="26">
        <v>975</v>
      </c>
      <c r="P257" s="52" t="s">
        <v>180</v>
      </c>
      <c r="Q257" s="52"/>
      <c r="R257" s="52"/>
      <c r="S257" s="52" t="s">
        <v>1654</v>
      </c>
      <c r="T257" s="52" t="s">
        <v>1654</v>
      </c>
      <c r="X257" s="26" t="s">
        <v>383</v>
      </c>
      <c r="AB257" s="26" t="s">
        <v>1557</v>
      </c>
      <c r="AC257" s="26" t="s">
        <v>1792</v>
      </c>
      <c r="AD257" s="153" t="str">
        <f t="shared" si="36"/>
        <v>RC/HV/FR/OA</v>
      </c>
      <c r="AE257" s="26" t="s">
        <v>167</v>
      </c>
      <c r="AG257" s="26" t="s">
        <v>382</v>
      </c>
      <c r="AH257" s="26" t="s">
        <v>382</v>
      </c>
      <c r="AI257" s="26" t="s">
        <v>230</v>
      </c>
      <c r="AM257" s="26" t="s">
        <v>384</v>
      </c>
      <c r="AN257" s="26" t="s">
        <v>384</v>
      </c>
      <c r="AO257" s="26" t="s">
        <v>230</v>
      </c>
      <c r="AP257" s="26" t="s">
        <v>208</v>
      </c>
      <c r="AQ257" s="26">
        <v>4</v>
      </c>
      <c r="AR257" s="26">
        <v>4</v>
      </c>
      <c r="AS257" s="26" t="s">
        <v>177</v>
      </c>
      <c r="AU257" s="26">
        <v>3801</v>
      </c>
      <c r="AV257" s="26">
        <v>17.600000000000001</v>
      </c>
      <c r="AW257" s="63"/>
      <c r="BB257" s="26">
        <v>8826</v>
      </c>
      <c r="BC257" s="26">
        <v>10182</v>
      </c>
      <c r="BK257" s="26">
        <f t="shared" si="48"/>
        <v>9.3512199999999996</v>
      </c>
      <c r="BL257" s="26">
        <v>7.95</v>
      </c>
      <c r="BM257" s="26" t="s">
        <v>417</v>
      </c>
      <c r="BP257" s="35" t="s">
        <v>418</v>
      </c>
      <c r="DA257" s="26">
        <v>115.77</v>
      </c>
      <c r="DB257" s="26">
        <v>22.6</v>
      </c>
      <c r="DC257" s="35" t="s">
        <v>388</v>
      </c>
      <c r="DM257" s="26">
        <v>190.68</v>
      </c>
      <c r="DN257" s="26">
        <v>10</v>
      </c>
      <c r="DO257" s="26">
        <f t="shared" si="47"/>
        <v>153.03999999999996</v>
      </c>
      <c r="DS257" s="12"/>
      <c r="DU257" s="15"/>
      <c r="FA257" s="35" t="s">
        <v>418</v>
      </c>
      <c r="FC257" s="26">
        <v>17</v>
      </c>
    </row>
    <row r="258" spans="1:159" s="26" customFormat="1" x14ac:dyDescent="0.25">
      <c r="A258" s="26">
        <v>17</v>
      </c>
      <c r="B258" s="26" t="s">
        <v>379</v>
      </c>
      <c r="C258" s="26" t="s">
        <v>380</v>
      </c>
      <c r="D258" s="26">
        <v>2016</v>
      </c>
      <c r="E258" s="26">
        <v>2012</v>
      </c>
      <c r="F258" s="35" t="s">
        <v>363</v>
      </c>
      <c r="G258" s="26" t="s">
        <v>381</v>
      </c>
      <c r="H258" s="26">
        <f t="shared" si="43"/>
        <v>40.716666666666669</v>
      </c>
      <c r="I258" s="26">
        <f t="shared" si="44"/>
        <v>-77.916666666666671</v>
      </c>
      <c r="J258" s="26">
        <v>350</v>
      </c>
      <c r="N258" s="26">
        <v>975</v>
      </c>
      <c r="P258" s="52" t="s">
        <v>180</v>
      </c>
      <c r="Q258" s="52"/>
      <c r="R258" s="52"/>
      <c r="S258" s="52" t="s">
        <v>1654</v>
      </c>
      <c r="T258" s="52" t="s">
        <v>1654</v>
      </c>
      <c r="X258" s="26" t="s">
        <v>383</v>
      </c>
      <c r="AB258" s="26" t="s">
        <v>1557</v>
      </c>
      <c r="AC258" s="26" t="s">
        <v>385</v>
      </c>
      <c r="AD258" s="153" t="str">
        <f t="shared" si="36"/>
        <v>8CCa</v>
      </c>
      <c r="AE258" s="26" t="s">
        <v>167</v>
      </c>
      <c r="AG258" s="26" t="s">
        <v>382</v>
      </c>
      <c r="AH258" s="26" t="s">
        <v>382</v>
      </c>
      <c r="AI258" s="26" t="s">
        <v>230</v>
      </c>
      <c r="AM258" s="26" t="s">
        <v>384</v>
      </c>
      <c r="AN258" s="26" t="s">
        <v>384</v>
      </c>
      <c r="AO258" s="26" t="s">
        <v>230</v>
      </c>
      <c r="AP258" s="26" t="s">
        <v>208</v>
      </c>
      <c r="AQ258" s="26">
        <v>4</v>
      </c>
      <c r="AR258" s="26">
        <v>4</v>
      </c>
      <c r="AS258" s="26" t="s">
        <v>177</v>
      </c>
      <c r="AU258" s="26">
        <v>8095</v>
      </c>
      <c r="AV258" s="26">
        <v>29.8</v>
      </c>
      <c r="AW258" s="63"/>
      <c r="BB258" s="26">
        <v>8826</v>
      </c>
      <c r="BC258" s="26">
        <v>6017</v>
      </c>
      <c r="BK258" s="26">
        <f t="shared" si="48"/>
        <v>9.3512199999999996</v>
      </c>
      <c r="BL258" s="26">
        <v>5.61</v>
      </c>
      <c r="BM258" s="26" t="s">
        <v>417</v>
      </c>
      <c r="BP258" s="35" t="s">
        <v>418</v>
      </c>
      <c r="DA258" s="26">
        <v>115.77</v>
      </c>
      <c r="DB258" s="26">
        <v>15.06</v>
      </c>
      <c r="DC258" s="35" t="s">
        <v>388</v>
      </c>
      <c r="DM258" s="26">
        <v>190.68</v>
      </c>
      <c r="DN258" s="26">
        <v>10</v>
      </c>
      <c r="DO258" s="26">
        <f t="shared" si="47"/>
        <v>153.03999999999996</v>
      </c>
      <c r="DS258" s="12"/>
      <c r="DU258" s="15"/>
      <c r="FA258" s="35" t="s">
        <v>418</v>
      </c>
      <c r="FC258" s="26">
        <v>17</v>
      </c>
    </row>
    <row r="259" spans="1:159" s="26" customFormat="1" x14ac:dyDescent="0.25">
      <c r="A259" s="26">
        <v>17</v>
      </c>
      <c r="B259" s="26" t="s">
        <v>379</v>
      </c>
      <c r="C259" s="26" t="s">
        <v>380</v>
      </c>
      <c r="D259" s="26">
        <v>2016</v>
      </c>
      <c r="E259" s="26">
        <v>2012</v>
      </c>
      <c r="F259" s="35" t="s">
        <v>363</v>
      </c>
      <c r="G259" s="26" t="s">
        <v>381</v>
      </c>
      <c r="H259" s="26">
        <f t="shared" si="43"/>
        <v>40.716666666666669</v>
      </c>
      <c r="I259" s="26">
        <f t="shared" si="44"/>
        <v>-77.916666666666671</v>
      </c>
      <c r="J259" s="26">
        <v>350</v>
      </c>
      <c r="N259" s="26">
        <v>975</v>
      </c>
      <c r="P259" s="52" t="s">
        <v>180</v>
      </c>
      <c r="Q259" s="52"/>
      <c r="R259" s="52"/>
      <c r="S259" s="52" t="s">
        <v>1654</v>
      </c>
      <c r="T259" s="52" t="s">
        <v>1654</v>
      </c>
      <c r="X259" s="26" t="s">
        <v>383</v>
      </c>
      <c r="AB259" s="26" t="s">
        <v>1557</v>
      </c>
      <c r="AC259" s="26" t="s">
        <v>386</v>
      </c>
      <c r="AD259" s="153" t="str">
        <f t="shared" ref="AD259:AD322" si="49">IF(OR(AC259="*Rye",AC259="Rye*",AC259="Downy_brome"),"Rye",IF(OR(AC259="*Oat",AC259="Oat*",AC259="Trudan_8",AC259="*Wheat",AC259="Wheat*",AC259="Barley*",AC259="Hemp",AC259="Hemp",AC259="Triticale*",AC259="Grass",AC259="Millet"),"Grass",IF(OR(AC259="*clover",AC259="clover*",AC259="Vetch*",AC259="Vetch*",AC259="Alfalfa",AC259="Soybean",AC259="*Lentil",AC259="Lentil*",AC259="*Pea",AC259="Pea*",AC259="Lupine"),"Legume",AC259)))</f>
        <v>8CCb</v>
      </c>
      <c r="AE259" s="26" t="s">
        <v>167</v>
      </c>
      <c r="AG259" s="26" t="s">
        <v>382</v>
      </c>
      <c r="AH259" s="26" t="s">
        <v>382</v>
      </c>
      <c r="AI259" s="26" t="s">
        <v>230</v>
      </c>
      <c r="AM259" s="26" t="s">
        <v>384</v>
      </c>
      <c r="AN259" s="26" t="s">
        <v>384</v>
      </c>
      <c r="AO259" s="26" t="s">
        <v>230</v>
      </c>
      <c r="AP259" s="26" t="s">
        <v>208</v>
      </c>
      <c r="AQ259" s="26">
        <v>4</v>
      </c>
      <c r="AR259" s="26">
        <v>4</v>
      </c>
      <c r="AS259" s="26" t="s">
        <v>177</v>
      </c>
      <c r="AU259" s="26">
        <v>6972</v>
      </c>
      <c r="AV259" s="26">
        <v>35.4</v>
      </c>
      <c r="AW259" s="63"/>
      <c r="BB259" s="26">
        <v>8826</v>
      </c>
      <c r="BC259" s="26">
        <v>3140</v>
      </c>
      <c r="BK259" s="26">
        <f t="shared" si="48"/>
        <v>9.3512199999999996</v>
      </c>
      <c r="BL259" s="26">
        <v>2.04</v>
      </c>
      <c r="BM259" s="26" t="s">
        <v>417</v>
      </c>
      <c r="BP259" s="35" t="s">
        <v>418</v>
      </c>
      <c r="DA259" s="26">
        <v>115.77</v>
      </c>
      <c r="DB259" s="26">
        <v>9.2899999999999991</v>
      </c>
      <c r="DC259" s="35" t="s">
        <v>388</v>
      </c>
      <c r="DM259" s="26">
        <v>190.68</v>
      </c>
      <c r="DN259" s="26">
        <v>10</v>
      </c>
      <c r="DO259" s="26">
        <f t="shared" si="47"/>
        <v>153.03999999999996</v>
      </c>
      <c r="DS259" s="12"/>
      <c r="DU259" s="15"/>
      <c r="FA259" s="35" t="s">
        <v>418</v>
      </c>
      <c r="FC259" s="26">
        <v>17</v>
      </c>
    </row>
    <row r="260" spans="1:159" s="38" customFormat="1" x14ac:dyDescent="0.25">
      <c r="A260" s="38">
        <v>18</v>
      </c>
      <c r="B260" s="38" t="s">
        <v>379</v>
      </c>
      <c r="C260" s="38" t="s">
        <v>380</v>
      </c>
      <c r="D260" s="38">
        <v>2017</v>
      </c>
      <c r="E260" s="38">
        <v>2011</v>
      </c>
      <c r="F260" s="40" t="s">
        <v>395</v>
      </c>
      <c r="G260" s="38" t="s">
        <v>381</v>
      </c>
      <c r="H260" s="38">
        <v>40.716666666666669</v>
      </c>
      <c r="I260" s="38">
        <v>-77.916666666666671</v>
      </c>
      <c r="J260" s="38">
        <v>350</v>
      </c>
      <c r="N260" s="38">
        <v>975</v>
      </c>
      <c r="P260" s="57" t="s">
        <v>179</v>
      </c>
      <c r="Q260" s="57"/>
      <c r="R260" s="57" t="s">
        <v>396</v>
      </c>
      <c r="S260" s="57" t="s">
        <v>1654</v>
      </c>
      <c r="T260" s="57" t="s">
        <v>1654</v>
      </c>
      <c r="X260" s="38" t="s">
        <v>383</v>
      </c>
      <c r="AB260" s="38" t="s">
        <v>1557</v>
      </c>
      <c r="AC260" s="38" t="s">
        <v>1814</v>
      </c>
      <c r="AD260" s="153" t="str">
        <f t="shared" si="49"/>
        <v>Sunn_hemp</v>
      </c>
      <c r="AE260" s="38" t="s">
        <v>167</v>
      </c>
      <c r="AG260" s="38" t="s">
        <v>382</v>
      </c>
      <c r="AH260" s="38" t="s">
        <v>382</v>
      </c>
      <c r="AI260" s="38" t="s">
        <v>230</v>
      </c>
      <c r="AM260" s="38" t="s">
        <v>384</v>
      </c>
      <c r="AN260" s="38" t="s">
        <v>384</v>
      </c>
      <c r="AO260" s="38" t="s">
        <v>230</v>
      </c>
      <c r="AP260" s="38" t="s">
        <v>208</v>
      </c>
      <c r="AQ260" s="38">
        <v>4</v>
      </c>
      <c r="AR260" s="38">
        <v>4</v>
      </c>
      <c r="AS260" s="38" t="s">
        <v>177</v>
      </c>
      <c r="AU260" s="38">
        <v>61</v>
      </c>
      <c r="AV260" s="38">
        <v>9.3000000000000007</v>
      </c>
      <c r="AW260" s="64"/>
      <c r="DS260" s="38">
        <v>69.540000000000006</v>
      </c>
      <c r="DT260" s="38">
        <v>73.88</v>
      </c>
      <c r="DU260" s="38" t="s">
        <v>323</v>
      </c>
      <c r="EH260" s="38">
        <v>8.06</v>
      </c>
      <c r="EI260" s="38">
        <v>8.59</v>
      </c>
      <c r="FA260" s="38" t="s">
        <v>398</v>
      </c>
      <c r="FC260" s="38">
        <v>18</v>
      </c>
    </row>
    <row r="261" spans="1:159" s="38" customFormat="1" x14ac:dyDescent="0.25">
      <c r="A261" s="38">
        <v>18</v>
      </c>
      <c r="B261" s="38" t="s">
        <v>379</v>
      </c>
      <c r="C261" s="38" t="s">
        <v>380</v>
      </c>
      <c r="D261" s="38">
        <v>2017</v>
      </c>
      <c r="E261" s="38">
        <v>2011</v>
      </c>
      <c r="F261" s="40" t="s">
        <v>395</v>
      </c>
      <c r="G261" s="38" t="s">
        <v>381</v>
      </c>
      <c r="H261" s="38">
        <v>40.716666666666669</v>
      </c>
      <c r="I261" s="38">
        <v>-77.916666666666671</v>
      </c>
      <c r="J261" s="38">
        <v>350</v>
      </c>
      <c r="N261" s="38">
        <v>975</v>
      </c>
      <c r="P261" s="57" t="s">
        <v>179</v>
      </c>
      <c r="Q261" s="57"/>
      <c r="R261" s="57" t="s">
        <v>396</v>
      </c>
      <c r="S261" s="57" t="s">
        <v>1654</v>
      </c>
      <c r="T261" s="57" t="s">
        <v>1654</v>
      </c>
      <c r="X261" s="38" t="s">
        <v>383</v>
      </c>
      <c r="AB261" s="38" t="s">
        <v>1557</v>
      </c>
      <c r="AC261" s="38" t="s">
        <v>1387</v>
      </c>
      <c r="AD261" s="153" t="str">
        <f t="shared" si="49"/>
        <v>Legume</v>
      </c>
      <c r="AE261" s="38" t="s">
        <v>167</v>
      </c>
      <c r="AG261" s="38" t="s">
        <v>382</v>
      </c>
      <c r="AH261" s="38" t="s">
        <v>382</v>
      </c>
      <c r="AI261" s="38" t="s">
        <v>230</v>
      </c>
      <c r="AM261" s="38" t="s">
        <v>384</v>
      </c>
      <c r="AN261" s="38" t="s">
        <v>384</v>
      </c>
      <c r="AO261" s="38" t="s">
        <v>230</v>
      </c>
      <c r="AP261" s="38" t="s">
        <v>208</v>
      </c>
      <c r="AQ261" s="38">
        <v>4</v>
      </c>
      <c r="AR261" s="38">
        <v>4</v>
      </c>
      <c r="AS261" s="38" t="s">
        <v>177</v>
      </c>
      <c r="AU261" s="38">
        <v>418</v>
      </c>
      <c r="AV261" s="38">
        <v>9.5</v>
      </c>
      <c r="AW261" s="64"/>
      <c r="DS261" s="38">
        <v>69.540000000000006</v>
      </c>
      <c r="DT261" s="38">
        <v>72.73</v>
      </c>
      <c r="DU261" s="38" t="s">
        <v>323</v>
      </c>
      <c r="EH261" s="38">
        <v>8.06</v>
      </c>
      <c r="EI261" s="38">
        <v>9.2200000000000006</v>
      </c>
      <c r="FA261" s="38" t="s">
        <v>398</v>
      </c>
      <c r="FC261" s="38">
        <v>18</v>
      </c>
    </row>
    <row r="262" spans="1:159" s="38" customFormat="1" x14ac:dyDescent="0.25">
      <c r="A262" s="38">
        <v>18</v>
      </c>
      <c r="B262" s="38" t="s">
        <v>379</v>
      </c>
      <c r="C262" s="38" t="s">
        <v>380</v>
      </c>
      <c r="D262" s="38">
        <v>2017</v>
      </c>
      <c r="E262" s="38">
        <v>2011</v>
      </c>
      <c r="F262" s="40" t="s">
        <v>395</v>
      </c>
      <c r="G262" s="38" t="s">
        <v>381</v>
      </c>
      <c r="H262" s="38">
        <v>40.716666666666669</v>
      </c>
      <c r="I262" s="38">
        <v>-77.916666666666671</v>
      </c>
      <c r="J262" s="38">
        <v>350</v>
      </c>
      <c r="N262" s="38">
        <v>975</v>
      </c>
      <c r="P262" s="57" t="s">
        <v>179</v>
      </c>
      <c r="Q262" s="57"/>
      <c r="R262" s="57" t="s">
        <v>396</v>
      </c>
      <c r="S262" s="57" t="s">
        <v>1654</v>
      </c>
      <c r="T262" s="57" t="s">
        <v>1654</v>
      </c>
      <c r="X262" s="38" t="s">
        <v>383</v>
      </c>
      <c r="AB262" s="38" t="s">
        <v>1557</v>
      </c>
      <c r="AC262" s="38" t="s">
        <v>1815</v>
      </c>
      <c r="AD262" s="153" t="str">
        <f t="shared" si="49"/>
        <v>red_clover</v>
      </c>
      <c r="AE262" s="38" t="s">
        <v>167</v>
      </c>
      <c r="AG262" s="38" t="s">
        <v>382</v>
      </c>
      <c r="AH262" s="38" t="s">
        <v>382</v>
      </c>
      <c r="AI262" s="38" t="s">
        <v>230</v>
      </c>
      <c r="AM262" s="38" t="s">
        <v>384</v>
      </c>
      <c r="AN262" s="38" t="s">
        <v>384</v>
      </c>
      <c r="AO262" s="38" t="s">
        <v>230</v>
      </c>
      <c r="AP262" s="38" t="s">
        <v>208</v>
      </c>
      <c r="AQ262" s="38">
        <v>4</v>
      </c>
      <c r="AR262" s="38">
        <v>4</v>
      </c>
      <c r="AS262" s="38" t="s">
        <v>177</v>
      </c>
      <c r="AU262" s="38">
        <v>4045</v>
      </c>
      <c r="AV262" s="38">
        <v>10.3</v>
      </c>
      <c r="AW262" s="64"/>
      <c r="DS262" s="38">
        <v>69.540000000000006</v>
      </c>
      <c r="DT262" s="38">
        <v>69.34</v>
      </c>
      <c r="DU262" s="38" t="s">
        <v>323</v>
      </c>
      <c r="EH262" s="38">
        <v>8.06</v>
      </c>
      <c r="EI262" s="38">
        <v>8.67</v>
      </c>
      <c r="FA262" s="38" t="s">
        <v>398</v>
      </c>
      <c r="FC262" s="38">
        <v>18</v>
      </c>
    </row>
    <row r="263" spans="1:159" s="38" customFormat="1" x14ac:dyDescent="0.25">
      <c r="A263" s="38">
        <v>18</v>
      </c>
      <c r="B263" s="38" t="s">
        <v>379</v>
      </c>
      <c r="C263" s="38" t="s">
        <v>380</v>
      </c>
      <c r="D263" s="38">
        <v>2017</v>
      </c>
      <c r="E263" s="38">
        <v>2011</v>
      </c>
      <c r="F263" s="40" t="s">
        <v>395</v>
      </c>
      <c r="G263" s="38" t="s">
        <v>381</v>
      </c>
      <c r="H263" s="38">
        <v>40.716666666666669</v>
      </c>
      <c r="I263" s="38">
        <v>-77.916666666666671</v>
      </c>
      <c r="J263" s="38">
        <v>350</v>
      </c>
      <c r="N263" s="38">
        <v>975</v>
      </c>
      <c r="P263" s="57" t="s">
        <v>179</v>
      </c>
      <c r="Q263" s="57"/>
      <c r="R263" s="57" t="s">
        <v>396</v>
      </c>
      <c r="S263" s="57" t="s">
        <v>1654</v>
      </c>
      <c r="T263" s="57" t="s">
        <v>1654</v>
      </c>
      <c r="X263" s="38" t="s">
        <v>383</v>
      </c>
      <c r="AB263" s="38" t="s">
        <v>1557</v>
      </c>
      <c r="AC263" s="38" t="s">
        <v>301</v>
      </c>
      <c r="AD263" s="153" t="str">
        <f t="shared" si="49"/>
        <v>Vetch</v>
      </c>
      <c r="AE263" s="38" t="s">
        <v>167</v>
      </c>
      <c r="AG263" s="38" t="s">
        <v>382</v>
      </c>
      <c r="AH263" s="38" t="s">
        <v>382</v>
      </c>
      <c r="AI263" s="38" t="s">
        <v>230</v>
      </c>
      <c r="AM263" s="38" t="s">
        <v>384</v>
      </c>
      <c r="AN263" s="38" t="s">
        <v>384</v>
      </c>
      <c r="AO263" s="38" t="s">
        <v>230</v>
      </c>
      <c r="AP263" s="38" t="s">
        <v>208</v>
      </c>
      <c r="AQ263" s="38">
        <v>4</v>
      </c>
      <c r="AR263" s="38">
        <v>4</v>
      </c>
      <c r="AS263" s="38" t="s">
        <v>177</v>
      </c>
      <c r="AU263" s="38">
        <v>4531</v>
      </c>
      <c r="AV263" s="38">
        <v>9</v>
      </c>
      <c r="AW263" s="64"/>
      <c r="DS263" s="38">
        <v>69.540000000000006</v>
      </c>
      <c r="DT263" s="38">
        <v>76.900000000000006</v>
      </c>
      <c r="DU263" s="38" t="s">
        <v>323</v>
      </c>
      <c r="EH263" s="38">
        <v>8.06</v>
      </c>
      <c r="EI263" s="38">
        <v>9.73</v>
      </c>
      <c r="FA263" s="38" t="s">
        <v>398</v>
      </c>
      <c r="FC263" s="38">
        <v>18</v>
      </c>
    </row>
    <row r="264" spans="1:159" s="38" customFormat="1" x14ac:dyDescent="0.25">
      <c r="A264" s="38">
        <v>18</v>
      </c>
      <c r="B264" s="38" t="s">
        <v>379</v>
      </c>
      <c r="C264" s="38" t="s">
        <v>380</v>
      </c>
      <c r="D264" s="38">
        <v>2017</v>
      </c>
      <c r="E264" s="38">
        <v>2011</v>
      </c>
      <c r="F264" s="40" t="s">
        <v>395</v>
      </c>
      <c r="G264" s="38" t="s">
        <v>381</v>
      </c>
      <c r="H264" s="38">
        <v>40.716666666666669</v>
      </c>
      <c r="I264" s="38">
        <v>-77.916666666666671</v>
      </c>
      <c r="J264" s="38">
        <v>350</v>
      </c>
      <c r="N264" s="38">
        <v>975</v>
      </c>
      <c r="P264" s="57" t="s">
        <v>179</v>
      </c>
      <c r="Q264" s="57"/>
      <c r="R264" s="57" t="s">
        <v>396</v>
      </c>
      <c r="S264" s="57" t="s">
        <v>1654</v>
      </c>
      <c r="T264" s="57" t="s">
        <v>1654</v>
      </c>
      <c r="X264" s="38" t="s">
        <v>383</v>
      </c>
      <c r="AB264" s="38" t="s">
        <v>1557</v>
      </c>
      <c r="AC264" s="38" t="s">
        <v>1861</v>
      </c>
      <c r="AD264" s="153" t="str">
        <f t="shared" si="49"/>
        <v>Forage_radish</v>
      </c>
      <c r="AE264" s="38" t="s">
        <v>167</v>
      </c>
      <c r="AG264" s="38" t="s">
        <v>382</v>
      </c>
      <c r="AH264" s="38" t="s">
        <v>382</v>
      </c>
      <c r="AI264" s="38" t="s">
        <v>230</v>
      </c>
      <c r="AM264" s="38" t="s">
        <v>384</v>
      </c>
      <c r="AN264" s="38" t="s">
        <v>384</v>
      </c>
      <c r="AO264" s="38" t="s">
        <v>230</v>
      </c>
      <c r="AP264" s="38" t="s">
        <v>208</v>
      </c>
      <c r="AQ264" s="38">
        <v>4</v>
      </c>
      <c r="AR264" s="38">
        <v>4</v>
      </c>
      <c r="AS264" s="38" t="s">
        <v>177</v>
      </c>
      <c r="AU264" s="38">
        <v>1381</v>
      </c>
      <c r="AV264" s="38">
        <v>15.7</v>
      </c>
      <c r="AW264" s="64"/>
      <c r="DS264" s="38">
        <v>69.540000000000006</v>
      </c>
      <c r="DT264" s="38">
        <v>73.55</v>
      </c>
      <c r="DU264" s="38" t="s">
        <v>323</v>
      </c>
      <c r="EH264" s="38">
        <v>8.06</v>
      </c>
      <c r="EI264" s="38">
        <v>10.210000000000001</v>
      </c>
      <c r="FA264" s="38" t="s">
        <v>398</v>
      </c>
      <c r="FC264" s="38">
        <v>18</v>
      </c>
    </row>
    <row r="265" spans="1:159" s="38" customFormat="1" x14ac:dyDescent="0.25">
      <c r="A265" s="38">
        <v>18</v>
      </c>
      <c r="B265" s="38" t="s">
        <v>379</v>
      </c>
      <c r="C265" s="38" t="s">
        <v>380</v>
      </c>
      <c r="D265" s="38">
        <v>2017</v>
      </c>
      <c r="E265" s="38">
        <v>2011</v>
      </c>
      <c r="F265" s="40" t="s">
        <v>395</v>
      </c>
      <c r="G265" s="38" t="s">
        <v>381</v>
      </c>
      <c r="H265" s="38">
        <v>40.716666666666669</v>
      </c>
      <c r="I265" s="38">
        <v>-77.916666666666671</v>
      </c>
      <c r="J265" s="38">
        <v>350</v>
      </c>
      <c r="N265" s="38">
        <v>975</v>
      </c>
      <c r="P265" s="57" t="s">
        <v>179</v>
      </c>
      <c r="Q265" s="57"/>
      <c r="R265" s="57" t="s">
        <v>396</v>
      </c>
      <c r="S265" s="57" t="s">
        <v>1654</v>
      </c>
      <c r="T265" s="57" t="s">
        <v>1654</v>
      </c>
      <c r="X265" s="38" t="s">
        <v>383</v>
      </c>
      <c r="AB265" s="38" t="s">
        <v>1557</v>
      </c>
      <c r="AC265" s="38" t="s">
        <v>638</v>
      </c>
      <c r="AD265" s="153" t="str">
        <f t="shared" si="49"/>
        <v>Oat</v>
      </c>
      <c r="AE265" s="38" t="s">
        <v>167</v>
      </c>
      <c r="AG265" s="38" t="s">
        <v>382</v>
      </c>
      <c r="AH265" s="38" t="s">
        <v>382</v>
      </c>
      <c r="AI265" s="38" t="s">
        <v>230</v>
      </c>
      <c r="AM265" s="38" t="s">
        <v>384</v>
      </c>
      <c r="AN265" s="38" t="s">
        <v>384</v>
      </c>
      <c r="AO265" s="38" t="s">
        <v>230</v>
      </c>
      <c r="AP265" s="38" t="s">
        <v>208</v>
      </c>
      <c r="AQ265" s="38">
        <v>4</v>
      </c>
      <c r="AR265" s="38">
        <v>4</v>
      </c>
      <c r="AS265" s="38" t="s">
        <v>177</v>
      </c>
      <c r="AU265" s="38">
        <v>1901</v>
      </c>
      <c r="AV265" s="38">
        <v>17.899999999999999</v>
      </c>
      <c r="AW265" s="64"/>
      <c r="DS265" s="38">
        <v>69.540000000000006</v>
      </c>
      <c r="DT265" s="38">
        <v>78.150000000000006</v>
      </c>
      <c r="DU265" s="38" t="s">
        <v>323</v>
      </c>
      <c r="EH265" s="38">
        <v>8.06</v>
      </c>
      <c r="EI265" s="38">
        <v>11.92</v>
      </c>
      <c r="FA265" s="38" t="s">
        <v>398</v>
      </c>
      <c r="FC265" s="38">
        <v>18</v>
      </c>
    </row>
    <row r="266" spans="1:159" s="38" customFormat="1" x14ac:dyDescent="0.25">
      <c r="A266" s="38">
        <v>18</v>
      </c>
      <c r="B266" s="38" t="s">
        <v>379</v>
      </c>
      <c r="C266" s="38" t="s">
        <v>380</v>
      </c>
      <c r="D266" s="38">
        <v>2017</v>
      </c>
      <c r="E266" s="38">
        <v>2011</v>
      </c>
      <c r="F266" s="40" t="s">
        <v>395</v>
      </c>
      <c r="G266" s="38" t="s">
        <v>381</v>
      </c>
      <c r="H266" s="38">
        <v>40.716666666666669</v>
      </c>
      <c r="I266" s="38">
        <v>-77.916666666666671</v>
      </c>
      <c r="J266" s="38">
        <v>350</v>
      </c>
      <c r="N266" s="38">
        <v>975</v>
      </c>
      <c r="P266" s="57" t="s">
        <v>179</v>
      </c>
      <c r="Q266" s="57"/>
      <c r="R266" s="57" t="s">
        <v>396</v>
      </c>
      <c r="S266" s="57" t="s">
        <v>1654</v>
      </c>
      <c r="T266" s="57" t="s">
        <v>1654</v>
      </c>
      <c r="X266" s="38" t="s">
        <v>383</v>
      </c>
      <c r="AB266" s="38" t="s">
        <v>1557</v>
      </c>
      <c r="AC266" s="38" t="s">
        <v>641</v>
      </c>
      <c r="AD266" s="153" t="str">
        <f t="shared" si="49"/>
        <v>Canola</v>
      </c>
      <c r="AE266" s="38" t="s">
        <v>167</v>
      </c>
      <c r="AG266" s="38" t="s">
        <v>382</v>
      </c>
      <c r="AH266" s="38" t="s">
        <v>382</v>
      </c>
      <c r="AI266" s="38" t="s">
        <v>230</v>
      </c>
      <c r="AM266" s="38" t="s">
        <v>384</v>
      </c>
      <c r="AN266" s="38" t="s">
        <v>384</v>
      </c>
      <c r="AO266" s="38" t="s">
        <v>230</v>
      </c>
      <c r="AP266" s="38" t="s">
        <v>208</v>
      </c>
      <c r="AQ266" s="38">
        <v>4</v>
      </c>
      <c r="AR266" s="38">
        <v>4</v>
      </c>
      <c r="AS266" s="38" t="s">
        <v>177</v>
      </c>
      <c r="AU266" s="38">
        <v>7165</v>
      </c>
      <c r="AV266" s="38">
        <v>24.2</v>
      </c>
      <c r="AW266" s="64"/>
      <c r="DS266" s="38">
        <v>69.540000000000006</v>
      </c>
      <c r="DT266" s="38">
        <v>74.7</v>
      </c>
      <c r="DU266" s="38" t="s">
        <v>323</v>
      </c>
      <c r="EH266" s="38">
        <v>8.06</v>
      </c>
      <c r="EI266" s="38">
        <v>9.8000000000000007</v>
      </c>
      <c r="FA266" s="38" t="s">
        <v>398</v>
      </c>
      <c r="FC266" s="38">
        <v>18</v>
      </c>
    </row>
    <row r="267" spans="1:159" s="38" customFormat="1" x14ac:dyDescent="0.25">
      <c r="A267" s="38">
        <v>18</v>
      </c>
      <c r="B267" s="38" t="s">
        <v>379</v>
      </c>
      <c r="C267" s="38" t="s">
        <v>380</v>
      </c>
      <c r="D267" s="38">
        <v>2017</v>
      </c>
      <c r="E267" s="38">
        <v>2011</v>
      </c>
      <c r="F267" s="40" t="s">
        <v>395</v>
      </c>
      <c r="G267" s="38" t="s">
        <v>381</v>
      </c>
      <c r="H267" s="38">
        <v>40.716666666666669</v>
      </c>
      <c r="I267" s="38">
        <v>-77.916666666666671</v>
      </c>
      <c r="J267" s="38">
        <v>350</v>
      </c>
      <c r="N267" s="38">
        <v>975</v>
      </c>
      <c r="P267" s="57" t="s">
        <v>179</v>
      </c>
      <c r="Q267" s="57"/>
      <c r="R267" s="57" t="s">
        <v>396</v>
      </c>
      <c r="S267" s="57" t="s">
        <v>1654</v>
      </c>
      <c r="T267" s="57" t="s">
        <v>1654</v>
      </c>
      <c r="X267" s="38" t="s">
        <v>383</v>
      </c>
      <c r="AB267" s="38" t="s">
        <v>1557</v>
      </c>
      <c r="AC267" s="38" t="s">
        <v>166</v>
      </c>
      <c r="AD267" s="153" t="str">
        <f t="shared" si="49"/>
        <v>Rye</v>
      </c>
      <c r="AE267" s="38" t="s">
        <v>167</v>
      </c>
      <c r="AG267" s="38" t="s">
        <v>382</v>
      </c>
      <c r="AH267" s="38" t="s">
        <v>382</v>
      </c>
      <c r="AI267" s="38" t="s">
        <v>230</v>
      </c>
      <c r="AM267" s="38" t="s">
        <v>384</v>
      </c>
      <c r="AN267" s="38" t="s">
        <v>384</v>
      </c>
      <c r="AO267" s="38" t="s">
        <v>230</v>
      </c>
      <c r="AP267" s="38" t="s">
        <v>208</v>
      </c>
      <c r="AQ267" s="38">
        <v>4</v>
      </c>
      <c r="AR267" s="38">
        <v>4</v>
      </c>
      <c r="AS267" s="38" t="s">
        <v>177</v>
      </c>
      <c r="AU267" s="38">
        <v>7343</v>
      </c>
      <c r="AV267" s="38">
        <v>42.9</v>
      </c>
      <c r="AW267" s="64"/>
      <c r="DS267" s="38">
        <v>69.540000000000006</v>
      </c>
      <c r="DT267" s="38">
        <v>74.03</v>
      </c>
      <c r="DU267" s="38" t="s">
        <v>323</v>
      </c>
      <c r="EH267" s="38">
        <v>8.06</v>
      </c>
      <c r="EI267" s="38">
        <v>12.28</v>
      </c>
      <c r="FA267" s="38" t="s">
        <v>398</v>
      </c>
      <c r="FC267" s="38">
        <v>18</v>
      </c>
    </row>
    <row r="268" spans="1:159" s="38" customFormat="1" x14ac:dyDescent="0.25">
      <c r="A268" s="38">
        <v>18</v>
      </c>
      <c r="B268" s="38" t="s">
        <v>379</v>
      </c>
      <c r="C268" s="38" t="s">
        <v>380</v>
      </c>
      <c r="D268" s="38">
        <v>2017</v>
      </c>
      <c r="E268" s="38">
        <v>2011</v>
      </c>
      <c r="F268" s="40" t="s">
        <v>395</v>
      </c>
      <c r="G268" s="38" t="s">
        <v>381</v>
      </c>
      <c r="H268" s="38">
        <v>40.716666666666669</v>
      </c>
      <c r="I268" s="38">
        <v>-77.916666666666671</v>
      </c>
      <c r="J268" s="38">
        <v>350</v>
      </c>
      <c r="N268" s="38">
        <v>975</v>
      </c>
      <c r="P268" s="57" t="s">
        <v>179</v>
      </c>
      <c r="Q268" s="57"/>
      <c r="R268" s="57" t="s">
        <v>396</v>
      </c>
      <c r="S268" s="57" t="s">
        <v>1654</v>
      </c>
      <c r="T268" s="57" t="s">
        <v>1654</v>
      </c>
      <c r="X268" s="38" t="s">
        <v>383</v>
      </c>
      <c r="AB268" s="38" t="s">
        <v>1557</v>
      </c>
      <c r="AC268" s="38" t="s">
        <v>1788</v>
      </c>
      <c r="AD268" s="153" t="str">
        <f t="shared" si="49"/>
        <v>FR/OA/CA/CR</v>
      </c>
      <c r="AE268" s="38" t="s">
        <v>167</v>
      </c>
      <c r="AG268" s="38" t="s">
        <v>382</v>
      </c>
      <c r="AH268" s="38" t="s">
        <v>382</v>
      </c>
      <c r="AI268" s="38" t="s">
        <v>230</v>
      </c>
      <c r="AM268" s="38" t="s">
        <v>384</v>
      </c>
      <c r="AN268" s="38" t="s">
        <v>384</v>
      </c>
      <c r="AO268" s="38" t="s">
        <v>230</v>
      </c>
      <c r="AP268" s="38" t="s">
        <v>208</v>
      </c>
      <c r="AQ268" s="38">
        <v>4</v>
      </c>
      <c r="AR268" s="38">
        <v>4</v>
      </c>
      <c r="AS268" s="38" t="s">
        <v>177</v>
      </c>
      <c r="AU268" s="38">
        <v>5850</v>
      </c>
      <c r="AV268" s="38">
        <v>29.9</v>
      </c>
      <c r="AW268" s="64"/>
      <c r="DS268" s="38">
        <v>69.540000000000006</v>
      </c>
      <c r="DT268" s="38">
        <v>74.53</v>
      </c>
      <c r="DU268" s="38" t="s">
        <v>323</v>
      </c>
      <c r="EH268" s="38">
        <v>8.06</v>
      </c>
      <c r="EI268" s="38">
        <v>10.97</v>
      </c>
      <c r="FA268" s="38" t="s">
        <v>398</v>
      </c>
      <c r="FC268" s="38">
        <v>18</v>
      </c>
    </row>
    <row r="269" spans="1:159" s="38" customFormat="1" x14ac:dyDescent="0.25">
      <c r="A269" s="38">
        <v>18</v>
      </c>
      <c r="B269" s="38" t="s">
        <v>379</v>
      </c>
      <c r="C269" s="38" t="s">
        <v>380</v>
      </c>
      <c r="D269" s="38">
        <v>2017</v>
      </c>
      <c r="E269" s="38">
        <v>2011</v>
      </c>
      <c r="F269" s="40" t="s">
        <v>395</v>
      </c>
      <c r="G269" s="38" t="s">
        <v>381</v>
      </c>
      <c r="H269" s="38">
        <v>40.716666666666669</v>
      </c>
      <c r="I269" s="38">
        <v>-77.916666666666671</v>
      </c>
      <c r="J269" s="38">
        <v>350</v>
      </c>
      <c r="N269" s="38">
        <v>975</v>
      </c>
      <c r="P269" s="57" t="s">
        <v>179</v>
      </c>
      <c r="Q269" s="57"/>
      <c r="R269" s="57" t="s">
        <v>396</v>
      </c>
      <c r="S269" s="57" t="s">
        <v>1654</v>
      </c>
      <c r="T269" s="57" t="s">
        <v>1654</v>
      </c>
      <c r="X269" s="38" t="s">
        <v>383</v>
      </c>
      <c r="AB269" s="38" t="s">
        <v>1557</v>
      </c>
      <c r="AC269" s="38" t="s">
        <v>1789</v>
      </c>
      <c r="AD269" s="153" t="str">
        <f t="shared" si="49"/>
        <v>SH/SB/FR/OA</v>
      </c>
      <c r="AE269" s="38" t="s">
        <v>167</v>
      </c>
      <c r="AG269" s="38" t="s">
        <v>382</v>
      </c>
      <c r="AH269" s="38" t="s">
        <v>382</v>
      </c>
      <c r="AI269" s="38" t="s">
        <v>230</v>
      </c>
      <c r="AM269" s="38" t="s">
        <v>384</v>
      </c>
      <c r="AN269" s="38" t="s">
        <v>384</v>
      </c>
      <c r="AO269" s="38" t="s">
        <v>230</v>
      </c>
      <c r="AP269" s="38" t="s">
        <v>208</v>
      </c>
      <c r="AQ269" s="38">
        <v>4</v>
      </c>
      <c r="AR269" s="38">
        <v>4</v>
      </c>
      <c r="AS269" s="38" t="s">
        <v>177</v>
      </c>
      <c r="AU269" s="38">
        <v>1724</v>
      </c>
      <c r="AV269" s="38">
        <v>15.4</v>
      </c>
      <c r="AW269" s="64"/>
      <c r="DS269" s="38">
        <v>69.540000000000006</v>
      </c>
      <c r="DT269" s="38">
        <v>76.25</v>
      </c>
      <c r="DU269" s="38" t="s">
        <v>323</v>
      </c>
      <c r="EH269" s="38">
        <v>8.06</v>
      </c>
      <c r="EI269" s="38">
        <v>12.2</v>
      </c>
      <c r="FA269" s="38" t="s">
        <v>398</v>
      </c>
      <c r="FC269" s="38">
        <v>18</v>
      </c>
    </row>
    <row r="270" spans="1:159" s="38" customFormat="1" x14ac:dyDescent="0.25">
      <c r="A270" s="38">
        <v>18</v>
      </c>
      <c r="B270" s="38" t="s">
        <v>379</v>
      </c>
      <c r="C270" s="38" t="s">
        <v>380</v>
      </c>
      <c r="D270" s="38">
        <v>2017</v>
      </c>
      <c r="E270" s="38">
        <v>2011</v>
      </c>
      <c r="F270" s="40" t="s">
        <v>395</v>
      </c>
      <c r="G270" s="38" t="s">
        <v>381</v>
      </c>
      <c r="H270" s="38">
        <v>40.716666666666669</v>
      </c>
      <c r="I270" s="38">
        <v>-77.916666666666671</v>
      </c>
      <c r="J270" s="38">
        <v>350</v>
      </c>
      <c r="N270" s="38">
        <v>975</v>
      </c>
      <c r="P270" s="57" t="s">
        <v>179</v>
      </c>
      <c r="Q270" s="57"/>
      <c r="R270" s="57" t="s">
        <v>396</v>
      </c>
      <c r="S270" s="57" t="s">
        <v>1654</v>
      </c>
      <c r="T270" s="57" t="s">
        <v>1654</v>
      </c>
      <c r="X270" s="38" t="s">
        <v>383</v>
      </c>
      <c r="AB270" s="38" t="s">
        <v>1557</v>
      </c>
      <c r="AC270" s="38" t="s">
        <v>1790</v>
      </c>
      <c r="AD270" s="153" t="str">
        <f t="shared" si="49"/>
        <v>RC/HV/CA/CR</v>
      </c>
      <c r="AE270" s="38" t="s">
        <v>167</v>
      </c>
      <c r="AG270" s="38" t="s">
        <v>382</v>
      </c>
      <c r="AH270" s="38" t="s">
        <v>382</v>
      </c>
      <c r="AI270" s="38" t="s">
        <v>230</v>
      </c>
      <c r="AM270" s="38" t="s">
        <v>384</v>
      </c>
      <c r="AN270" s="38" t="s">
        <v>384</v>
      </c>
      <c r="AO270" s="38" t="s">
        <v>230</v>
      </c>
      <c r="AP270" s="38" t="s">
        <v>208</v>
      </c>
      <c r="AQ270" s="38">
        <v>4</v>
      </c>
      <c r="AR270" s="38">
        <v>4</v>
      </c>
      <c r="AS270" s="38" t="s">
        <v>177</v>
      </c>
      <c r="AU270" s="38">
        <v>6699</v>
      </c>
      <c r="AV270" s="38">
        <v>16.399999999999999</v>
      </c>
      <c r="AW270" s="64"/>
      <c r="DS270" s="38">
        <v>69.540000000000006</v>
      </c>
      <c r="DT270" s="38">
        <v>76.3</v>
      </c>
      <c r="DU270" s="38" t="s">
        <v>323</v>
      </c>
      <c r="EH270" s="38">
        <v>8.06</v>
      </c>
      <c r="EI270" s="38">
        <v>11.89</v>
      </c>
      <c r="FA270" s="38" t="s">
        <v>398</v>
      </c>
      <c r="FC270" s="38">
        <v>18</v>
      </c>
    </row>
    <row r="271" spans="1:159" s="38" customFormat="1" x14ac:dyDescent="0.25">
      <c r="A271" s="38">
        <v>18</v>
      </c>
      <c r="B271" s="38" t="s">
        <v>379</v>
      </c>
      <c r="C271" s="38" t="s">
        <v>380</v>
      </c>
      <c r="D271" s="38">
        <v>2017</v>
      </c>
      <c r="E271" s="38">
        <v>2011</v>
      </c>
      <c r="F271" s="40" t="s">
        <v>395</v>
      </c>
      <c r="G271" s="38" t="s">
        <v>381</v>
      </c>
      <c r="H271" s="38">
        <v>40.716666666666669</v>
      </c>
      <c r="I271" s="38">
        <v>-77.916666666666671</v>
      </c>
      <c r="J271" s="38">
        <v>350</v>
      </c>
      <c r="N271" s="38">
        <v>975</v>
      </c>
      <c r="P271" s="57" t="s">
        <v>179</v>
      </c>
      <c r="Q271" s="57"/>
      <c r="R271" s="57" t="s">
        <v>396</v>
      </c>
      <c r="S271" s="57" t="s">
        <v>1654</v>
      </c>
      <c r="T271" s="57" t="s">
        <v>1654</v>
      </c>
      <c r="X271" s="38" t="s">
        <v>383</v>
      </c>
      <c r="AB271" s="38" t="s">
        <v>1557</v>
      </c>
      <c r="AC271" s="38" t="s">
        <v>1791</v>
      </c>
      <c r="AD271" s="153" t="str">
        <f t="shared" si="49"/>
        <v>SH/SB/CA/CR</v>
      </c>
      <c r="AE271" s="38" t="s">
        <v>167</v>
      </c>
      <c r="AG271" s="38" t="s">
        <v>382</v>
      </c>
      <c r="AH271" s="38" t="s">
        <v>382</v>
      </c>
      <c r="AI271" s="38" t="s">
        <v>230</v>
      </c>
      <c r="AM271" s="38" t="s">
        <v>384</v>
      </c>
      <c r="AN271" s="38" t="s">
        <v>384</v>
      </c>
      <c r="AO271" s="38" t="s">
        <v>230</v>
      </c>
      <c r="AP271" s="38" t="s">
        <v>208</v>
      </c>
      <c r="AQ271" s="38">
        <v>4</v>
      </c>
      <c r="AR271" s="38">
        <v>4</v>
      </c>
      <c r="AS271" s="38" t="s">
        <v>177</v>
      </c>
      <c r="AU271" s="38">
        <v>6997</v>
      </c>
      <c r="AV271" s="38">
        <v>35.9</v>
      </c>
      <c r="AW271" s="64"/>
      <c r="DS271" s="38">
        <v>69.540000000000006</v>
      </c>
      <c r="DT271" s="38">
        <v>73.819999999999993</v>
      </c>
      <c r="DU271" s="38" t="s">
        <v>323</v>
      </c>
      <c r="EH271" s="38">
        <v>8.06</v>
      </c>
      <c r="EI271" s="38">
        <v>10.119999999999999</v>
      </c>
      <c r="FA271" s="38" t="s">
        <v>398</v>
      </c>
      <c r="FC271" s="38">
        <v>18</v>
      </c>
    </row>
    <row r="272" spans="1:159" s="38" customFormat="1" x14ac:dyDescent="0.25">
      <c r="A272" s="38">
        <v>18</v>
      </c>
      <c r="B272" s="38" t="s">
        <v>379</v>
      </c>
      <c r="C272" s="38" t="s">
        <v>380</v>
      </c>
      <c r="D272" s="38">
        <v>2017</v>
      </c>
      <c r="E272" s="38">
        <v>2011</v>
      </c>
      <c r="F272" s="40" t="s">
        <v>395</v>
      </c>
      <c r="G272" s="38" t="s">
        <v>381</v>
      </c>
      <c r="H272" s="38">
        <v>40.716666666666669</v>
      </c>
      <c r="I272" s="38">
        <v>-77.916666666666671</v>
      </c>
      <c r="J272" s="38">
        <v>350</v>
      </c>
      <c r="N272" s="38">
        <v>975</v>
      </c>
      <c r="P272" s="57" t="s">
        <v>179</v>
      </c>
      <c r="Q272" s="57"/>
      <c r="R272" s="57" t="s">
        <v>396</v>
      </c>
      <c r="S272" s="57" t="s">
        <v>1654</v>
      </c>
      <c r="T272" s="57" t="s">
        <v>1654</v>
      </c>
      <c r="X272" s="38" t="s">
        <v>383</v>
      </c>
      <c r="AB272" s="38" t="s">
        <v>1557</v>
      </c>
      <c r="AC272" s="38" t="s">
        <v>1792</v>
      </c>
      <c r="AD272" s="153" t="str">
        <f t="shared" si="49"/>
        <v>RC/HV/FR/OA</v>
      </c>
      <c r="AE272" s="38" t="s">
        <v>167</v>
      </c>
      <c r="AG272" s="38" t="s">
        <v>382</v>
      </c>
      <c r="AH272" s="38" t="s">
        <v>382</v>
      </c>
      <c r="AI272" s="38" t="s">
        <v>230</v>
      </c>
      <c r="AM272" s="38" t="s">
        <v>384</v>
      </c>
      <c r="AN272" s="38" t="s">
        <v>384</v>
      </c>
      <c r="AO272" s="38" t="s">
        <v>230</v>
      </c>
      <c r="AP272" s="38" t="s">
        <v>208</v>
      </c>
      <c r="AQ272" s="38">
        <v>4</v>
      </c>
      <c r="AR272" s="38">
        <v>4</v>
      </c>
      <c r="AS272" s="38" t="s">
        <v>177</v>
      </c>
      <c r="AU272" s="38">
        <v>5374</v>
      </c>
      <c r="AV272" s="38">
        <v>11</v>
      </c>
      <c r="AW272" s="64"/>
      <c r="DS272" s="38">
        <v>69.540000000000006</v>
      </c>
      <c r="DT272" s="38">
        <v>76.52</v>
      </c>
      <c r="DU272" s="38" t="s">
        <v>323</v>
      </c>
      <c r="EH272" s="38">
        <v>8.06</v>
      </c>
      <c r="EI272" s="38">
        <v>10.73</v>
      </c>
      <c r="FA272" s="38" t="s">
        <v>398</v>
      </c>
      <c r="FC272" s="38">
        <v>18</v>
      </c>
    </row>
    <row r="273" spans="1:159" s="38" customFormat="1" x14ac:dyDescent="0.25">
      <c r="A273" s="38">
        <v>18</v>
      </c>
      <c r="B273" s="38" t="s">
        <v>379</v>
      </c>
      <c r="C273" s="38" t="s">
        <v>380</v>
      </c>
      <c r="D273" s="38">
        <v>2017</v>
      </c>
      <c r="E273" s="38">
        <v>2011</v>
      </c>
      <c r="F273" s="40" t="s">
        <v>395</v>
      </c>
      <c r="G273" s="38" t="s">
        <v>381</v>
      </c>
      <c r="H273" s="38">
        <v>40.716666666666669</v>
      </c>
      <c r="I273" s="38">
        <v>-77.916666666666671</v>
      </c>
      <c r="J273" s="38">
        <v>350</v>
      </c>
      <c r="N273" s="38">
        <v>975</v>
      </c>
      <c r="P273" s="57" t="s">
        <v>179</v>
      </c>
      <c r="Q273" s="57"/>
      <c r="R273" s="57" t="s">
        <v>396</v>
      </c>
      <c r="S273" s="57" t="s">
        <v>1654</v>
      </c>
      <c r="T273" s="57" t="s">
        <v>1654</v>
      </c>
      <c r="X273" s="38" t="s">
        <v>383</v>
      </c>
      <c r="AB273" s="38" t="s">
        <v>1557</v>
      </c>
      <c r="AC273" s="38" t="s">
        <v>385</v>
      </c>
      <c r="AD273" s="153" t="str">
        <f t="shared" si="49"/>
        <v>8CCa</v>
      </c>
      <c r="AE273" s="38" t="s">
        <v>167</v>
      </c>
      <c r="AG273" s="38" t="s">
        <v>382</v>
      </c>
      <c r="AH273" s="38" t="s">
        <v>382</v>
      </c>
      <c r="AI273" s="38" t="s">
        <v>230</v>
      </c>
      <c r="AM273" s="38" t="s">
        <v>384</v>
      </c>
      <c r="AN273" s="38" t="s">
        <v>384</v>
      </c>
      <c r="AO273" s="38" t="s">
        <v>230</v>
      </c>
      <c r="AP273" s="38" t="s">
        <v>208</v>
      </c>
      <c r="AQ273" s="38">
        <v>4</v>
      </c>
      <c r="AR273" s="38">
        <v>4</v>
      </c>
      <c r="AS273" s="38" t="s">
        <v>177</v>
      </c>
      <c r="AU273" s="38">
        <v>7143</v>
      </c>
      <c r="AV273" s="38">
        <v>15</v>
      </c>
      <c r="AW273" s="64"/>
      <c r="DS273" s="38">
        <v>69.540000000000006</v>
      </c>
      <c r="DT273" s="38">
        <v>78.099999999999994</v>
      </c>
      <c r="DU273" s="38" t="s">
        <v>323</v>
      </c>
      <c r="EH273" s="38">
        <v>8.06</v>
      </c>
      <c r="EI273" s="38">
        <v>11.61</v>
      </c>
      <c r="FA273" s="38" t="s">
        <v>398</v>
      </c>
      <c r="FC273" s="38">
        <v>18</v>
      </c>
    </row>
    <row r="274" spans="1:159" s="31" customFormat="1" x14ac:dyDescent="0.25">
      <c r="A274" s="31">
        <v>18</v>
      </c>
      <c r="B274" s="31" t="s">
        <v>379</v>
      </c>
      <c r="C274" s="31" t="s">
        <v>380</v>
      </c>
      <c r="D274" s="31">
        <v>2017</v>
      </c>
      <c r="E274" s="31">
        <v>2012</v>
      </c>
      <c r="F274" s="41" t="s">
        <v>395</v>
      </c>
      <c r="G274" s="31" t="s">
        <v>381</v>
      </c>
      <c r="H274" s="31">
        <v>40.716666666666669</v>
      </c>
      <c r="I274" s="31">
        <v>-77.916666666666671</v>
      </c>
      <c r="J274" s="31">
        <v>350</v>
      </c>
      <c r="N274" s="31">
        <v>975</v>
      </c>
      <c r="P274" s="56" t="s">
        <v>180</v>
      </c>
      <c r="Q274" s="56"/>
      <c r="R274" s="56" t="s">
        <v>397</v>
      </c>
      <c r="S274" s="56" t="s">
        <v>1654</v>
      </c>
      <c r="T274" s="56" t="s">
        <v>1654</v>
      </c>
      <c r="X274" s="31" t="s">
        <v>383</v>
      </c>
      <c r="AB274" s="31" t="s">
        <v>1557</v>
      </c>
      <c r="AC274" s="31" t="s">
        <v>1814</v>
      </c>
      <c r="AD274" s="153" t="str">
        <f t="shared" si="49"/>
        <v>Sunn_hemp</v>
      </c>
      <c r="AE274" s="31" t="s">
        <v>167</v>
      </c>
      <c r="AG274" s="31" t="s">
        <v>382</v>
      </c>
      <c r="AH274" s="31" t="s">
        <v>382</v>
      </c>
      <c r="AI274" s="31" t="s">
        <v>230</v>
      </c>
      <c r="AM274" s="31" t="s">
        <v>384</v>
      </c>
      <c r="AN274" s="31" t="s">
        <v>384</v>
      </c>
      <c r="AO274" s="31" t="s">
        <v>230</v>
      </c>
      <c r="AP274" s="31" t="s">
        <v>208</v>
      </c>
      <c r="AQ274" s="31">
        <v>4</v>
      </c>
      <c r="AR274" s="31">
        <v>4</v>
      </c>
      <c r="AS274" s="31" t="s">
        <v>177</v>
      </c>
      <c r="AU274" s="31">
        <v>61</v>
      </c>
      <c r="AV274" s="31">
        <v>9.3000000000000007</v>
      </c>
      <c r="AW274" s="64"/>
      <c r="DS274" s="31">
        <v>77.319999999999993</v>
      </c>
      <c r="DT274" s="31">
        <v>85.89</v>
      </c>
      <c r="DU274" s="31" t="s">
        <v>323</v>
      </c>
      <c r="EH274" s="31">
        <v>11.14</v>
      </c>
      <c r="EI274" s="31">
        <v>9.98</v>
      </c>
      <c r="FA274" s="31" t="s">
        <v>398</v>
      </c>
      <c r="FC274" s="31">
        <v>18</v>
      </c>
    </row>
    <row r="275" spans="1:159" s="31" customFormat="1" x14ac:dyDescent="0.25">
      <c r="A275" s="31">
        <v>18</v>
      </c>
      <c r="B275" s="31" t="s">
        <v>379</v>
      </c>
      <c r="C275" s="31" t="s">
        <v>380</v>
      </c>
      <c r="D275" s="31">
        <v>2017</v>
      </c>
      <c r="E275" s="31">
        <v>2012</v>
      </c>
      <c r="F275" s="41" t="s">
        <v>395</v>
      </c>
      <c r="G275" s="31" t="s">
        <v>381</v>
      </c>
      <c r="H275" s="31">
        <v>40.716666666666669</v>
      </c>
      <c r="I275" s="31">
        <v>-77.916666666666671</v>
      </c>
      <c r="J275" s="31">
        <v>350</v>
      </c>
      <c r="N275" s="31">
        <v>975</v>
      </c>
      <c r="P275" s="56" t="s">
        <v>180</v>
      </c>
      <c r="Q275" s="56"/>
      <c r="R275" s="56" t="s">
        <v>397</v>
      </c>
      <c r="S275" s="56" t="s">
        <v>1654</v>
      </c>
      <c r="T275" s="56" t="s">
        <v>1654</v>
      </c>
      <c r="X275" s="31" t="s">
        <v>383</v>
      </c>
      <c r="AB275" s="31" t="s">
        <v>1557</v>
      </c>
      <c r="AC275" s="31" t="s">
        <v>1387</v>
      </c>
      <c r="AD275" s="153" t="str">
        <f t="shared" si="49"/>
        <v>Legume</v>
      </c>
      <c r="AE275" s="31" t="s">
        <v>167</v>
      </c>
      <c r="AG275" s="31" t="s">
        <v>382</v>
      </c>
      <c r="AH275" s="31" t="s">
        <v>382</v>
      </c>
      <c r="AI275" s="31" t="s">
        <v>230</v>
      </c>
      <c r="AM275" s="31" t="s">
        <v>384</v>
      </c>
      <c r="AN275" s="31" t="s">
        <v>384</v>
      </c>
      <c r="AO275" s="31" t="s">
        <v>230</v>
      </c>
      <c r="AP275" s="31" t="s">
        <v>208</v>
      </c>
      <c r="AQ275" s="31">
        <v>4</v>
      </c>
      <c r="AR275" s="31">
        <v>4</v>
      </c>
      <c r="AS275" s="31" t="s">
        <v>177</v>
      </c>
      <c r="AU275" s="31">
        <v>418</v>
      </c>
      <c r="AV275" s="31">
        <v>9.5</v>
      </c>
      <c r="AW275" s="64"/>
      <c r="DS275" s="31">
        <v>77.319999999999993</v>
      </c>
      <c r="DT275" s="31">
        <v>82.78</v>
      </c>
      <c r="DU275" s="31" t="s">
        <v>323</v>
      </c>
      <c r="EH275" s="31">
        <v>11.14</v>
      </c>
      <c r="EI275" s="31">
        <v>9.44</v>
      </c>
      <c r="FA275" s="31" t="s">
        <v>398</v>
      </c>
      <c r="FC275" s="31">
        <v>18</v>
      </c>
    </row>
    <row r="276" spans="1:159" s="31" customFormat="1" x14ac:dyDescent="0.25">
      <c r="A276" s="31">
        <v>18</v>
      </c>
      <c r="B276" s="31" t="s">
        <v>379</v>
      </c>
      <c r="C276" s="31" t="s">
        <v>380</v>
      </c>
      <c r="D276" s="31">
        <v>2017</v>
      </c>
      <c r="E276" s="31">
        <v>2012</v>
      </c>
      <c r="F276" s="41" t="s">
        <v>395</v>
      </c>
      <c r="G276" s="31" t="s">
        <v>381</v>
      </c>
      <c r="H276" s="31">
        <v>40.716666666666669</v>
      </c>
      <c r="I276" s="31">
        <v>-77.916666666666671</v>
      </c>
      <c r="J276" s="31">
        <v>350</v>
      </c>
      <c r="N276" s="31">
        <v>975</v>
      </c>
      <c r="P276" s="56" t="s">
        <v>180</v>
      </c>
      <c r="Q276" s="56"/>
      <c r="R276" s="56" t="s">
        <v>397</v>
      </c>
      <c r="S276" s="56" t="s">
        <v>1654</v>
      </c>
      <c r="T276" s="56" t="s">
        <v>1654</v>
      </c>
      <c r="X276" s="31" t="s">
        <v>383</v>
      </c>
      <c r="AB276" s="31" t="s">
        <v>1557</v>
      </c>
      <c r="AC276" s="31" t="s">
        <v>1815</v>
      </c>
      <c r="AD276" s="153" t="str">
        <f t="shared" si="49"/>
        <v>red_clover</v>
      </c>
      <c r="AE276" s="31" t="s">
        <v>167</v>
      </c>
      <c r="AG276" s="31" t="s">
        <v>382</v>
      </c>
      <c r="AH276" s="31" t="s">
        <v>382</v>
      </c>
      <c r="AI276" s="31" t="s">
        <v>230</v>
      </c>
      <c r="AM276" s="31" t="s">
        <v>384</v>
      </c>
      <c r="AN276" s="31" t="s">
        <v>384</v>
      </c>
      <c r="AO276" s="31" t="s">
        <v>230</v>
      </c>
      <c r="AP276" s="31" t="s">
        <v>208</v>
      </c>
      <c r="AQ276" s="31">
        <v>4</v>
      </c>
      <c r="AR276" s="31">
        <v>4</v>
      </c>
      <c r="AS276" s="31" t="s">
        <v>177</v>
      </c>
      <c r="AU276" s="31">
        <v>4045</v>
      </c>
      <c r="AV276" s="31">
        <v>10.3</v>
      </c>
      <c r="AW276" s="64"/>
      <c r="DS276" s="31">
        <v>77.319999999999993</v>
      </c>
      <c r="DT276" s="31">
        <v>86.2</v>
      </c>
      <c r="DU276" s="31" t="s">
        <v>323</v>
      </c>
      <c r="EH276" s="31">
        <v>11.14</v>
      </c>
      <c r="EI276" s="31">
        <v>11.5</v>
      </c>
      <c r="FA276" s="31" t="s">
        <v>398</v>
      </c>
      <c r="FC276" s="31">
        <v>18</v>
      </c>
    </row>
    <row r="277" spans="1:159" s="31" customFormat="1" x14ac:dyDescent="0.25">
      <c r="A277" s="31">
        <v>18</v>
      </c>
      <c r="B277" s="31" t="s">
        <v>379</v>
      </c>
      <c r="C277" s="31" t="s">
        <v>380</v>
      </c>
      <c r="D277" s="31">
        <v>2017</v>
      </c>
      <c r="E277" s="31">
        <v>2012</v>
      </c>
      <c r="F277" s="41" t="s">
        <v>395</v>
      </c>
      <c r="G277" s="31" t="s">
        <v>381</v>
      </c>
      <c r="H277" s="31">
        <v>40.716666666666669</v>
      </c>
      <c r="I277" s="31">
        <v>-77.916666666666671</v>
      </c>
      <c r="J277" s="31">
        <v>350</v>
      </c>
      <c r="N277" s="31">
        <v>975</v>
      </c>
      <c r="P277" s="56" t="s">
        <v>180</v>
      </c>
      <c r="Q277" s="56"/>
      <c r="R277" s="56" t="s">
        <v>397</v>
      </c>
      <c r="S277" s="56" t="s">
        <v>1654</v>
      </c>
      <c r="T277" s="56" t="s">
        <v>1654</v>
      </c>
      <c r="X277" s="31" t="s">
        <v>383</v>
      </c>
      <c r="AB277" s="31" t="s">
        <v>1557</v>
      </c>
      <c r="AC277" s="31" t="s">
        <v>301</v>
      </c>
      <c r="AD277" s="153" t="str">
        <f t="shared" si="49"/>
        <v>Vetch</v>
      </c>
      <c r="AE277" s="31" t="s">
        <v>167</v>
      </c>
      <c r="AG277" s="31" t="s">
        <v>382</v>
      </c>
      <c r="AH277" s="31" t="s">
        <v>382</v>
      </c>
      <c r="AI277" s="31" t="s">
        <v>230</v>
      </c>
      <c r="AM277" s="31" t="s">
        <v>384</v>
      </c>
      <c r="AN277" s="31" t="s">
        <v>384</v>
      </c>
      <c r="AO277" s="31" t="s">
        <v>230</v>
      </c>
      <c r="AP277" s="31" t="s">
        <v>208</v>
      </c>
      <c r="AQ277" s="31">
        <v>4</v>
      </c>
      <c r="AR277" s="31">
        <v>4</v>
      </c>
      <c r="AS277" s="31" t="s">
        <v>177</v>
      </c>
      <c r="AU277" s="31">
        <v>4531</v>
      </c>
      <c r="AV277" s="31">
        <v>9</v>
      </c>
      <c r="AW277" s="64"/>
      <c r="DS277" s="31">
        <v>77.319999999999993</v>
      </c>
      <c r="DT277" s="31">
        <v>87.33</v>
      </c>
      <c r="DU277" s="31" t="s">
        <v>323</v>
      </c>
      <c r="EH277" s="31">
        <v>11.14</v>
      </c>
      <c r="EI277" s="31">
        <v>17.059999999999999</v>
      </c>
      <c r="FA277" s="31" t="s">
        <v>398</v>
      </c>
      <c r="FC277" s="31">
        <v>18</v>
      </c>
    </row>
    <row r="278" spans="1:159" s="31" customFormat="1" x14ac:dyDescent="0.25">
      <c r="A278" s="31">
        <v>18</v>
      </c>
      <c r="B278" s="31" t="s">
        <v>379</v>
      </c>
      <c r="C278" s="31" t="s">
        <v>380</v>
      </c>
      <c r="D278" s="31">
        <v>2017</v>
      </c>
      <c r="E278" s="31">
        <v>2012</v>
      </c>
      <c r="F278" s="41" t="s">
        <v>395</v>
      </c>
      <c r="G278" s="31" t="s">
        <v>381</v>
      </c>
      <c r="H278" s="31">
        <v>40.716666666666669</v>
      </c>
      <c r="I278" s="31">
        <v>-77.916666666666671</v>
      </c>
      <c r="J278" s="31">
        <v>350</v>
      </c>
      <c r="N278" s="31">
        <v>975</v>
      </c>
      <c r="P278" s="56" t="s">
        <v>180</v>
      </c>
      <c r="Q278" s="56"/>
      <c r="R278" s="56" t="s">
        <v>397</v>
      </c>
      <c r="S278" s="56" t="s">
        <v>1654</v>
      </c>
      <c r="T278" s="56" t="s">
        <v>1654</v>
      </c>
      <c r="X278" s="31" t="s">
        <v>383</v>
      </c>
      <c r="AB278" s="31" t="s">
        <v>1557</v>
      </c>
      <c r="AC278" s="31" t="s">
        <v>1861</v>
      </c>
      <c r="AD278" s="153" t="str">
        <f t="shared" si="49"/>
        <v>Forage_radish</v>
      </c>
      <c r="AE278" s="31" t="s">
        <v>167</v>
      </c>
      <c r="AG278" s="31" t="s">
        <v>382</v>
      </c>
      <c r="AH278" s="31" t="s">
        <v>382</v>
      </c>
      <c r="AI278" s="31" t="s">
        <v>230</v>
      </c>
      <c r="AM278" s="31" t="s">
        <v>384</v>
      </c>
      <c r="AN278" s="31" t="s">
        <v>384</v>
      </c>
      <c r="AO278" s="31" t="s">
        <v>230</v>
      </c>
      <c r="AP278" s="31" t="s">
        <v>208</v>
      </c>
      <c r="AQ278" s="31">
        <v>4</v>
      </c>
      <c r="AR278" s="31">
        <v>4</v>
      </c>
      <c r="AS278" s="31" t="s">
        <v>177</v>
      </c>
      <c r="AU278" s="31">
        <v>1381</v>
      </c>
      <c r="AV278" s="31">
        <v>15.7</v>
      </c>
      <c r="AW278" s="64"/>
      <c r="DS278" s="31">
        <v>77.319999999999993</v>
      </c>
      <c r="DT278" s="31">
        <v>84.98</v>
      </c>
      <c r="DU278" s="31" t="s">
        <v>323</v>
      </c>
      <c r="EH278" s="31">
        <v>11.14</v>
      </c>
      <c r="EI278" s="31">
        <v>10.33</v>
      </c>
      <c r="FA278" s="31" t="s">
        <v>398</v>
      </c>
      <c r="FC278" s="31">
        <v>18</v>
      </c>
    </row>
    <row r="279" spans="1:159" s="31" customFormat="1" x14ac:dyDescent="0.25">
      <c r="A279" s="31">
        <v>18</v>
      </c>
      <c r="B279" s="31" t="s">
        <v>379</v>
      </c>
      <c r="C279" s="31" t="s">
        <v>380</v>
      </c>
      <c r="D279" s="31">
        <v>2017</v>
      </c>
      <c r="E279" s="31">
        <v>2012</v>
      </c>
      <c r="F279" s="41" t="s">
        <v>395</v>
      </c>
      <c r="G279" s="31" t="s">
        <v>381</v>
      </c>
      <c r="H279" s="31">
        <v>40.716666666666669</v>
      </c>
      <c r="I279" s="31">
        <v>-77.916666666666671</v>
      </c>
      <c r="J279" s="31">
        <v>350</v>
      </c>
      <c r="N279" s="31">
        <v>975</v>
      </c>
      <c r="P279" s="56" t="s">
        <v>180</v>
      </c>
      <c r="Q279" s="56"/>
      <c r="R279" s="56" t="s">
        <v>397</v>
      </c>
      <c r="S279" s="56" t="s">
        <v>1654</v>
      </c>
      <c r="T279" s="56" t="s">
        <v>1654</v>
      </c>
      <c r="X279" s="31" t="s">
        <v>383</v>
      </c>
      <c r="AB279" s="31" t="s">
        <v>1557</v>
      </c>
      <c r="AC279" s="31" t="s">
        <v>638</v>
      </c>
      <c r="AD279" s="153" t="str">
        <f t="shared" si="49"/>
        <v>Oat</v>
      </c>
      <c r="AE279" s="31" t="s">
        <v>167</v>
      </c>
      <c r="AG279" s="31" t="s">
        <v>382</v>
      </c>
      <c r="AH279" s="31" t="s">
        <v>382</v>
      </c>
      <c r="AI279" s="31" t="s">
        <v>230</v>
      </c>
      <c r="AM279" s="31" t="s">
        <v>384</v>
      </c>
      <c r="AN279" s="31" t="s">
        <v>384</v>
      </c>
      <c r="AO279" s="31" t="s">
        <v>230</v>
      </c>
      <c r="AP279" s="31" t="s">
        <v>208</v>
      </c>
      <c r="AQ279" s="31">
        <v>4</v>
      </c>
      <c r="AR279" s="31">
        <v>4</v>
      </c>
      <c r="AS279" s="31" t="s">
        <v>177</v>
      </c>
      <c r="AU279" s="31">
        <v>1901</v>
      </c>
      <c r="AV279" s="31">
        <v>17.899999999999999</v>
      </c>
      <c r="AW279" s="64"/>
      <c r="DS279" s="31">
        <v>77.319999999999993</v>
      </c>
      <c r="DT279" s="31">
        <v>88.13</v>
      </c>
      <c r="DU279" s="31" t="s">
        <v>323</v>
      </c>
      <c r="EH279" s="31">
        <v>11.14</v>
      </c>
      <c r="EI279" s="31">
        <v>12.67</v>
      </c>
      <c r="FA279" s="31" t="s">
        <v>398</v>
      </c>
      <c r="FC279" s="31">
        <v>18</v>
      </c>
    </row>
    <row r="280" spans="1:159" s="31" customFormat="1" x14ac:dyDescent="0.25">
      <c r="A280" s="31">
        <v>18</v>
      </c>
      <c r="B280" s="31" t="s">
        <v>379</v>
      </c>
      <c r="C280" s="31" t="s">
        <v>380</v>
      </c>
      <c r="D280" s="31">
        <v>2017</v>
      </c>
      <c r="E280" s="31">
        <v>2012</v>
      </c>
      <c r="F280" s="41" t="s">
        <v>395</v>
      </c>
      <c r="G280" s="31" t="s">
        <v>381</v>
      </c>
      <c r="H280" s="31">
        <v>40.716666666666669</v>
      </c>
      <c r="I280" s="31">
        <v>-77.916666666666671</v>
      </c>
      <c r="J280" s="31">
        <v>350</v>
      </c>
      <c r="N280" s="31">
        <v>975</v>
      </c>
      <c r="P280" s="56" t="s">
        <v>180</v>
      </c>
      <c r="Q280" s="56"/>
      <c r="R280" s="56" t="s">
        <v>397</v>
      </c>
      <c r="S280" s="56" t="s">
        <v>1654</v>
      </c>
      <c r="T280" s="56" t="s">
        <v>1654</v>
      </c>
      <c r="X280" s="31" t="s">
        <v>383</v>
      </c>
      <c r="AB280" s="31" t="s">
        <v>1557</v>
      </c>
      <c r="AC280" s="31" t="s">
        <v>641</v>
      </c>
      <c r="AD280" s="153" t="str">
        <f t="shared" si="49"/>
        <v>Canola</v>
      </c>
      <c r="AE280" s="31" t="s">
        <v>167</v>
      </c>
      <c r="AG280" s="31" t="s">
        <v>382</v>
      </c>
      <c r="AH280" s="31" t="s">
        <v>382</v>
      </c>
      <c r="AI280" s="31" t="s">
        <v>230</v>
      </c>
      <c r="AM280" s="31" t="s">
        <v>384</v>
      </c>
      <c r="AN280" s="31" t="s">
        <v>384</v>
      </c>
      <c r="AO280" s="31" t="s">
        <v>230</v>
      </c>
      <c r="AP280" s="31" t="s">
        <v>208</v>
      </c>
      <c r="AQ280" s="31">
        <v>4</v>
      </c>
      <c r="AR280" s="31">
        <v>4</v>
      </c>
      <c r="AS280" s="31" t="s">
        <v>177</v>
      </c>
      <c r="AU280" s="31">
        <v>7165</v>
      </c>
      <c r="AV280" s="31">
        <v>24.2</v>
      </c>
      <c r="AW280" s="64"/>
      <c r="DS280" s="31">
        <v>77.319999999999993</v>
      </c>
      <c r="DT280" s="31">
        <v>89.74</v>
      </c>
      <c r="DU280" s="31" t="s">
        <v>323</v>
      </c>
      <c r="EH280" s="31">
        <v>11.14</v>
      </c>
      <c r="EI280" s="31">
        <v>11.23</v>
      </c>
      <c r="FA280" s="31" t="s">
        <v>398</v>
      </c>
      <c r="FC280" s="31">
        <v>18</v>
      </c>
    </row>
    <row r="281" spans="1:159" s="31" customFormat="1" x14ac:dyDescent="0.25">
      <c r="A281" s="31">
        <v>18</v>
      </c>
      <c r="B281" s="31" t="s">
        <v>379</v>
      </c>
      <c r="C281" s="31" t="s">
        <v>380</v>
      </c>
      <c r="D281" s="31">
        <v>2017</v>
      </c>
      <c r="E281" s="31">
        <v>2012</v>
      </c>
      <c r="F281" s="41" t="s">
        <v>395</v>
      </c>
      <c r="G281" s="31" t="s">
        <v>381</v>
      </c>
      <c r="H281" s="31">
        <v>40.716666666666669</v>
      </c>
      <c r="I281" s="31">
        <v>-77.916666666666671</v>
      </c>
      <c r="J281" s="31">
        <v>350</v>
      </c>
      <c r="N281" s="31">
        <v>975</v>
      </c>
      <c r="P281" s="56" t="s">
        <v>180</v>
      </c>
      <c r="Q281" s="56"/>
      <c r="R281" s="56" t="s">
        <v>397</v>
      </c>
      <c r="S281" s="56" t="s">
        <v>1654</v>
      </c>
      <c r="T281" s="56" t="s">
        <v>1654</v>
      </c>
      <c r="X281" s="31" t="s">
        <v>383</v>
      </c>
      <c r="AB281" s="31" t="s">
        <v>1557</v>
      </c>
      <c r="AC281" s="31" t="s">
        <v>166</v>
      </c>
      <c r="AD281" s="153" t="str">
        <f t="shared" si="49"/>
        <v>Rye</v>
      </c>
      <c r="AE281" s="31" t="s">
        <v>167</v>
      </c>
      <c r="AG281" s="31" t="s">
        <v>382</v>
      </c>
      <c r="AH281" s="31" t="s">
        <v>382</v>
      </c>
      <c r="AI281" s="31" t="s">
        <v>230</v>
      </c>
      <c r="AM281" s="31" t="s">
        <v>384</v>
      </c>
      <c r="AN281" s="31" t="s">
        <v>384</v>
      </c>
      <c r="AO281" s="31" t="s">
        <v>230</v>
      </c>
      <c r="AP281" s="31" t="s">
        <v>208</v>
      </c>
      <c r="AQ281" s="31">
        <v>4</v>
      </c>
      <c r="AR281" s="31">
        <v>4</v>
      </c>
      <c r="AS281" s="31" t="s">
        <v>177</v>
      </c>
      <c r="AU281" s="31">
        <v>7343</v>
      </c>
      <c r="AV281" s="31">
        <v>42.9</v>
      </c>
      <c r="AW281" s="64"/>
      <c r="DS281" s="31">
        <v>77.319999999999993</v>
      </c>
      <c r="DT281" s="31">
        <v>87.96</v>
      </c>
      <c r="DU281" s="31" t="s">
        <v>323</v>
      </c>
      <c r="EH281" s="31">
        <v>11.14</v>
      </c>
      <c r="EI281" s="31">
        <v>16.989999999999998</v>
      </c>
      <c r="FA281" s="31" t="s">
        <v>398</v>
      </c>
      <c r="FC281" s="31">
        <v>18</v>
      </c>
    </row>
    <row r="282" spans="1:159" s="31" customFormat="1" x14ac:dyDescent="0.25">
      <c r="A282" s="31">
        <v>18</v>
      </c>
      <c r="B282" s="31" t="s">
        <v>379</v>
      </c>
      <c r="C282" s="31" t="s">
        <v>380</v>
      </c>
      <c r="D282" s="31">
        <v>2017</v>
      </c>
      <c r="E282" s="31">
        <v>2012</v>
      </c>
      <c r="F282" s="41" t="s">
        <v>395</v>
      </c>
      <c r="G282" s="31" t="s">
        <v>381</v>
      </c>
      <c r="H282" s="31">
        <v>40.716666666666669</v>
      </c>
      <c r="I282" s="31">
        <v>-77.916666666666671</v>
      </c>
      <c r="J282" s="31">
        <v>350</v>
      </c>
      <c r="N282" s="31">
        <v>975</v>
      </c>
      <c r="P282" s="56" t="s">
        <v>180</v>
      </c>
      <c r="Q282" s="56"/>
      <c r="R282" s="56" t="s">
        <v>397</v>
      </c>
      <c r="S282" s="56" t="s">
        <v>1654</v>
      </c>
      <c r="T282" s="56" t="s">
        <v>1654</v>
      </c>
      <c r="X282" s="31" t="s">
        <v>383</v>
      </c>
      <c r="AB282" s="31" t="s">
        <v>1557</v>
      </c>
      <c r="AC282" s="31" t="s">
        <v>1788</v>
      </c>
      <c r="AD282" s="153" t="str">
        <f t="shared" si="49"/>
        <v>FR/OA/CA/CR</v>
      </c>
      <c r="AE282" s="31" t="s">
        <v>167</v>
      </c>
      <c r="AG282" s="31" t="s">
        <v>382</v>
      </c>
      <c r="AH282" s="31" t="s">
        <v>382</v>
      </c>
      <c r="AI282" s="31" t="s">
        <v>230</v>
      </c>
      <c r="AM282" s="31" t="s">
        <v>384</v>
      </c>
      <c r="AN282" s="31" t="s">
        <v>384</v>
      </c>
      <c r="AO282" s="31" t="s">
        <v>230</v>
      </c>
      <c r="AP282" s="31" t="s">
        <v>208</v>
      </c>
      <c r="AQ282" s="31">
        <v>4</v>
      </c>
      <c r="AR282" s="31">
        <v>4</v>
      </c>
      <c r="AS282" s="31" t="s">
        <v>177</v>
      </c>
      <c r="AU282" s="31">
        <v>5850</v>
      </c>
      <c r="AV282" s="31">
        <v>29.9</v>
      </c>
      <c r="AW282" s="64"/>
      <c r="DS282" s="31">
        <v>77.319999999999993</v>
      </c>
      <c r="DT282" s="31">
        <v>84.98</v>
      </c>
      <c r="DU282" s="31" t="s">
        <v>323</v>
      </c>
      <c r="EH282" s="31">
        <v>11.14</v>
      </c>
      <c r="EI282" s="31">
        <v>12.37</v>
      </c>
      <c r="FA282" s="31" t="s">
        <v>398</v>
      </c>
      <c r="FC282" s="31">
        <v>18</v>
      </c>
    </row>
    <row r="283" spans="1:159" s="31" customFormat="1" x14ac:dyDescent="0.25">
      <c r="A283" s="31">
        <v>18</v>
      </c>
      <c r="B283" s="31" t="s">
        <v>379</v>
      </c>
      <c r="C283" s="31" t="s">
        <v>380</v>
      </c>
      <c r="D283" s="31">
        <v>2017</v>
      </c>
      <c r="E283" s="31">
        <v>2012</v>
      </c>
      <c r="F283" s="41" t="s">
        <v>395</v>
      </c>
      <c r="G283" s="31" t="s">
        <v>381</v>
      </c>
      <c r="H283" s="31">
        <v>40.716666666666669</v>
      </c>
      <c r="I283" s="31">
        <v>-77.916666666666671</v>
      </c>
      <c r="J283" s="31">
        <v>350</v>
      </c>
      <c r="N283" s="31">
        <v>975</v>
      </c>
      <c r="P283" s="56" t="s">
        <v>180</v>
      </c>
      <c r="Q283" s="56"/>
      <c r="R283" s="56" t="s">
        <v>397</v>
      </c>
      <c r="S283" s="56" t="s">
        <v>1654</v>
      </c>
      <c r="T283" s="56" t="s">
        <v>1654</v>
      </c>
      <c r="X283" s="31" t="s">
        <v>383</v>
      </c>
      <c r="AB283" s="31" t="s">
        <v>1557</v>
      </c>
      <c r="AC283" s="31" t="s">
        <v>1789</v>
      </c>
      <c r="AD283" s="153" t="str">
        <f t="shared" si="49"/>
        <v>SH/SB/FR/OA</v>
      </c>
      <c r="AE283" s="31" t="s">
        <v>167</v>
      </c>
      <c r="AG283" s="31" t="s">
        <v>382</v>
      </c>
      <c r="AH283" s="31" t="s">
        <v>382</v>
      </c>
      <c r="AI283" s="31" t="s">
        <v>230</v>
      </c>
      <c r="AM283" s="31" t="s">
        <v>384</v>
      </c>
      <c r="AN283" s="31" t="s">
        <v>384</v>
      </c>
      <c r="AO283" s="31" t="s">
        <v>230</v>
      </c>
      <c r="AP283" s="31" t="s">
        <v>208</v>
      </c>
      <c r="AQ283" s="31">
        <v>4</v>
      </c>
      <c r="AR283" s="31">
        <v>4</v>
      </c>
      <c r="AS283" s="31" t="s">
        <v>177</v>
      </c>
      <c r="AU283" s="31">
        <v>1724</v>
      </c>
      <c r="AV283" s="31">
        <v>15.4</v>
      </c>
      <c r="AW283" s="64"/>
      <c r="DS283" s="31">
        <v>77.319999999999993</v>
      </c>
      <c r="DT283" s="31">
        <v>89.25</v>
      </c>
      <c r="DU283" s="31" t="s">
        <v>323</v>
      </c>
      <c r="EH283" s="31">
        <v>11.14</v>
      </c>
      <c r="EI283" s="31">
        <v>11.31</v>
      </c>
      <c r="FA283" s="31" t="s">
        <v>398</v>
      </c>
      <c r="FC283" s="31">
        <v>18</v>
      </c>
    </row>
    <row r="284" spans="1:159" s="31" customFormat="1" x14ac:dyDescent="0.25">
      <c r="A284" s="31">
        <v>18</v>
      </c>
      <c r="B284" s="31" t="s">
        <v>379</v>
      </c>
      <c r="C284" s="31" t="s">
        <v>380</v>
      </c>
      <c r="D284" s="31">
        <v>2017</v>
      </c>
      <c r="E284" s="31">
        <v>2012</v>
      </c>
      <c r="F284" s="41" t="s">
        <v>395</v>
      </c>
      <c r="G284" s="31" t="s">
        <v>381</v>
      </c>
      <c r="H284" s="31">
        <v>40.716666666666669</v>
      </c>
      <c r="I284" s="31">
        <v>-77.916666666666671</v>
      </c>
      <c r="J284" s="31">
        <v>350</v>
      </c>
      <c r="N284" s="31">
        <v>975</v>
      </c>
      <c r="P284" s="56" t="s">
        <v>180</v>
      </c>
      <c r="Q284" s="56"/>
      <c r="R284" s="56" t="s">
        <v>397</v>
      </c>
      <c r="S284" s="56" t="s">
        <v>1654</v>
      </c>
      <c r="T284" s="56" t="s">
        <v>1654</v>
      </c>
      <c r="X284" s="31" t="s">
        <v>383</v>
      </c>
      <c r="AB284" s="31" t="s">
        <v>1557</v>
      </c>
      <c r="AC284" s="31" t="s">
        <v>1790</v>
      </c>
      <c r="AD284" s="153" t="str">
        <f t="shared" si="49"/>
        <v>RC/HV/CA/CR</v>
      </c>
      <c r="AE284" s="31" t="s">
        <v>167</v>
      </c>
      <c r="AG284" s="31" t="s">
        <v>382</v>
      </c>
      <c r="AH284" s="31" t="s">
        <v>382</v>
      </c>
      <c r="AI284" s="31" t="s">
        <v>230</v>
      </c>
      <c r="AM284" s="31" t="s">
        <v>384</v>
      </c>
      <c r="AN284" s="31" t="s">
        <v>384</v>
      </c>
      <c r="AO284" s="31" t="s">
        <v>230</v>
      </c>
      <c r="AP284" s="31" t="s">
        <v>208</v>
      </c>
      <c r="AQ284" s="31">
        <v>4</v>
      </c>
      <c r="AR284" s="31">
        <v>4</v>
      </c>
      <c r="AS284" s="31" t="s">
        <v>177</v>
      </c>
      <c r="AU284" s="31">
        <v>6699</v>
      </c>
      <c r="AV284" s="31">
        <v>16.399999999999999</v>
      </c>
      <c r="AW284" s="64"/>
      <c r="DS284" s="31">
        <v>77.319999999999993</v>
      </c>
      <c r="DT284" s="31">
        <v>87.97</v>
      </c>
      <c r="DU284" s="31" t="s">
        <v>323</v>
      </c>
      <c r="EH284" s="31">
        <v>11.14</v>
      </c>
      <c r="EI284" s="31">
        <v>17.8</v>
      </c>
      <c r="FA284" s="31" t="s">
        <v>398</v>
      </c>
      <c r="FC284" s="31">
        <v>18</v>
      </c>
    </row>
    <row r="285" spans="1:159" s="31" customFormat="1" x14ac:dyDescent="0.25">
      <c r="A285" s="31">
        <v>18</v>
      </c>
      <c r="B285" s="31" t="s">
        <v>379</v>
      </c>
      <c r="C285" s="31" t="s">
        <v>380</v>
      </c>
      <c r="D285" s="31">
        <v>2017</v>
      </c>
      <c r="E285" s="31">
        <v>2012</v>
      </c>
      <c r="F285" s="41" t="s">
        <v>395</v>
      </c>
      <c r="G285" s="31" t="s">
        <v>381</v>
      </c>
      <c r="H285" s="31">
        <v>40.716666666666669</v>
      </c>
      <c r="I285" s="31">
        <v>-77.916666666666671</v>
      </c>
      <c r="J285" s="31">
        <v>350</v>
      </c>
      <c r="N285" s="31">
        <v>975</v>
      </c>
      <c r="P285" s="56" t="s">
        <v>180</v>
      </c>
      <c r="Q285" s="56"/>
      <c r="R285" s="56" t="s">
        <v>397</v>
      </c>
      <c r="S285" s="56" t="s">
        <v>1654</v>
      </c>
      <c r="T285" s="56" t="s">
        <v>1654</v>
      </c>
      <c r="X285" s="31" t="s">
        <v>383</v>
      </c>
      <c r="AB285" s="31" t="s">
        <v>1557</v>
      </c>
      <c r="AC285" s="31" t="s">
        <v>1791</v>
      </c>
      <c r="AD285" s="153" t="str">
        <f t="shared" si="49"/>
        <v>SH/SB/CA/CR</v>
      </c>
      <c r="AE285" s="31" t="s">
        <v>167</v>
      </c>
      <c r="AG285" s="31" t="s">
        <v>382</v>
      </c>
      <c r="AH285" s="31" t="s">
        <v>382</v>
      </c>
      <c r="AI285" s="31" t="s">
        <v>230</v>
      </c>
      <c r="AM285" s="31" t="s">
        <v>384</v>
      </c>
      <c r="AN285" s="31" t="s">
        <v>384</v>
      </c>
      <c r="AO285" s="31" t="s">
        <v>230</v>
      </c>
      <c r="AP285" s="31" t="s">
        <v>208</v>
      </c>
      <c r="AQ285" s="31">
        <v>4</v>
      </c>
      <c r="AR285" s="31">
        <v>4</v>
      </c>
      <c r="AS285" s="31" t="s">
        <v>177</v>
      </c>
      <c r="AU285" s="31">
        <v>6997</v>
      </c>
      <c r="AV285" s="31">
        <v>35.9</v>
      </c>
      <c r="AW285" s="64"/>
      <c r="DS285" s="31">
        <v>77.319999999999993</v>
      </c>
      <c r="DT285" s="31">
        <v>86.26</v>
      </c>
      <c r="DU285" s="31" t="s">
        <v>323</v>
      </c>
      <c r="EH285" s="31">
        <v>11.14</v>
      </c>
      <c r="EI285" s="31">
        <v>14</v>
      </c>
      <c r="FA285" s="31" t="s">
        <v>398</v>
      </c>
      <c r="FC285" s="31">
        <v>18</v>
      </c>
    </row>
    <row r="286" spans="1:159" s="31" customFormat="1" x14ac:dyDescent="0.25">
      <c r="A286" s="31">
        <v>18</v>
      </c>
      <c r="B286" s="31" t="s">
        <v>379</v>
      </c>
      <c r="C286" s="31" t="s">
        <v>380</v>
      </c>
      <c r="D286" s="31">
        <v>2017</v>
      </c>
      <c r="E286" s="31">
        <v>2012</v>
      </c>
      <c r="F286" s="41" t="s">
        <v>395</v>
      </c>
      <c r="G286" s="31" t="s">
        <v>381</v>
      </c>
      <c r="H286" s="31">
        <v>40.716666666666669</v>
      </c>
      <c r="I286" s="31">
        <v>-77.916666666666671</v>
      </c>
      <c r="J286" s="31">
        <v>350</v>
      </c>
      <c r="N286" s="31">
        <v>975</v>
      </c>
      <c r="P286" s="56" t="s">
        <v>180</v>
      </c>
      <c r="Q286" s="56"/>
      <c r="R286" s="56" t="s">
        <v>397</v>
      </c>
      <c r="S286" s="56" t="s">
        <v>1654</v>
      </c>
      <c r="T286" s="56" t="s">
        <v>1654</v>
      </c>
      <c r="X286" s="31" t="s">
        <v>383</v>
      </c>
      <c r="AB286" s="31" t="s">
        <v>1557</v>
      </c>
      <c r="AC286" s="31" t="s">
        <v>1792</v>
      </c>
      <c r="AD286" s="153" t="str">
        <f t="shared" si="49"/>
        <v>RC/HV/FR/OA</v>
      </c>
      <c r="AE286" s="31" t="s">
        <v>167</v>
      </c>
      <c r="AG286" s="31" t="s">
        <v>382</v>
      </c>
      <c r="AH286" s="31" t="s">
        <v>382</v>
      </c>
      <c r="AI286" s="31" t="s">
        <v>230</v>
      </c>
      <c r="AM286" s="31" t="s">
        <v>384</v>
      </c>
      <c r="AN286" s="31" t="s">
        <v>384</v>
      </c>
      <c r="AO286" s="31" t="s">
        <v>230</v>
      </c>
      <c r="AP286" s="31" t="s">
        <v>208</v>
      </c>
      <c r="AQ286" s="31">
        <v>4</v>
      </c>
      <c r="AR286" s="31">
        <v>4</v>
      </c>
      <c r="AS286" s="31" t="s">
        <v>177</v>
      </c>
      <c r="AU286" s="31">
        <v>5374</v>
      </c>
      <c r="AV286" s="31">
        <v>11</v>
      </c>
      <c r="AW286" s="64"/>
      <c r="DS286" s="31">
        <v>77.319999999999993</v>
      </c>
      <c r="DT286" s="31">
        <v>89.26</v>
      </c>
      <c r="DU286" s="31" t="s">
        <v>323</v>
      </c>
      <c r="EH286" s="31">
        <v>11.14</v>
      </c>
      <c r="EI286" s="31">
        <v>14.56</v>
      </c>
      <c r="FA286" s="31" t="s">
        <v>398</v>
      </c>
      <c r="FC286" s="31">
        <v>18</v>
      </c>
    </row>
    <row r="287" spans="1:159" s="31" customFormat="1" x14ac:dyDescent="0.25">
      <c r="A287" s="31">
        <v>18</v>
      </c>
      <c r="B287" s="31" t="s">
        <v>379</v>
      </c>
      <c r="C287" s="31" t="s">
        <v>380</v>
      </c>
      <c r="D287" s="31">
        <v>2017</v>
      </c>
      <c r="E287" s="31">
        <v>2012</v>
      </c>
      <c r="F287" s="41" t="s">
        <v>395</v>
      </c>
      <c r="G287" s="31" t="s">
        <v>381</v>
      </c>
      <c r="H287" s="31">
        <v>40.716666666666669</v>
      </c>
      <c r="I287" s="31">
        <v>-77.916666666666671</v>
      </c>
      <c r="J287" s="31">
        <v>350</v>
      </c>
      <c r="N287" s="31">
        <v>975</v>
      </c>
      <c r="P287" s="56" t="s">
        <v>180</v>
      </c>
      <c r="Q287" s="56"/>
      <c r="R287" s="56" t="s">
        <v>397</v>
      </c>
      <c r="S287" s="56" t="s">
        <v>1654</v>
      </c>
      <c r="T287" s="56" t="s">
        <v>1654</v>
      </c>
      <c r="X287" s="31" t="s">
        <v>383</v>
      </c>
      <c r="AB287" s="31" t="s">
        <v>1557</v>
      </c>
      <c r="AC287" s="31" t="s">
        <v>385</v>
      </c>
      <c r="AD287" s="153" t="str">
        <f t="shared" si="49"/>
        <v>8CCa</v>
      </c>
      <c r="AE287" s="31" t="s">
        <v>167</v>
      </c>
      <c r="AG287" s="31" t="s">
        <v>382</v>
      </c>
      <c r="AH287" s="31" t="s">
        <v>382</v>
      </c>
      <c r="AI287" s="31" t="s">
        <v>230</v>
      </c>
      <c r="AM287" s="31" t="s">
        <v>384</v>
      </c>
      <c r="AN287" s="31" t="s">
        <v>384</v>
      </c>
      <c r="AO287" s="31" t="s">
        <v>230</v>
      </c>
      <c r="AP287" s="31" t="s">
        <v>208</v>
      </c>
      <c r="AQ287" s="31">
        <v>4</v>
      </c>
      <c r="AR287" s="31">
        <v>4</v>
      </c>
      <c r="AS287" s="31" t="s">
        <v>177</v>
      </c>
      <c r="AU287" s="31">
        <v>7143</v>
      </c>
      <c r="AV287" s="31">
        <v>15</v>
      </c>
      <c r="AW287" s="64"/>
      <c r="DS287" s="31">
        <v>77.319999999999993</v>
      </c>
      <c r="DT287" s="31">
        <v>94.47</v>
      </c>
      <c r="DU287" s="31" t="s">
        <v>323</v>
      </c>
      <c r="EH287" s="31">
        <v>11.14</v>
      </c>
      <c r="EI287" s="31">
        <v>15.92</v>
      </c>
      <c r="FA287" s="31" t="s">
        <v>398</v>
      </c>
      <c r="FC287" s="31">
        <v>18</v>
      </c>
    </row>
    <row r="288" spans="1:159" s="39" customFormat="1" x14ac:dyDescent="0.25">
      <c r="A288" s="39">
        <v>19</v>
      </c>
      <c r="B288" s="39" t="s">
        <v>400</v>
      </c>
      <c r="C288" s="39" t="s">
        <v>401</v>
      </c>
      <c r="D288" s="39">
        <v>1986</v>
      </c>
      <c r="E288" s="39">
        <v>1981</v>
      </c>
      <c r="F288" s="39" t="s">
        <v>363</v>
      </c>
      <c r="G288" s="39" t="s">
        <v>402</v>
      </c>
      <c r="H288" s="39">
        <v>33.32</v>
      </c>
      <c r="I288" s="39">
        <v>-84.43</v>
      </c>
      <c r="J288" s="39">
        <v>246.5</v>
      </c>
      <c r="P288" s="58" t="s">
        <v>179</v>
      </c>
      <c r="Q288" s="58"/>
      <c r="R288" s="58"/>
      <c r="S288" s="58" t="s">
        <v>1645</v>
      </c>
      <c r="T288" s="58" t="s">
        <v>1654</v>
      </c>
      <c r="X288" s="39" t="s">
        <v>403</v>
      </c>
      <c r="AB288" s="39" t="s">
        <v>1558</v>
      </c>
      <c r="AC288" s="39" t="s">
        <v>166</v>
      </c>
      <c r="AD288" s="153" t="str">
        <f t="shared" si="49"/>
        <v>Rye</v>
      </c>
      <c r="AE288" s="39" t="s">
        <v>277</v>
      </c>
      <c r="AJ288" s="39" t="s">
        <v>275</v>
      </c>
      <c r="AK288" s="39" t="s">
        <v>275</v>
      </c>
      <c r="AL288" s="39" t="s">
        <v>230</v>
      </c>
      <c r="AM288" s="39" t="s">
        <v>407</v>
      </c>
      <c r="AN288" s="39" t="s">
        <v>407</v>
      </c>
      <c r="AP288" s="39" t="s">
        <v>154</v>
      </c>
      <c r="AQ288" s="39">
        <v>4</v>
      </c>
      <c r="AR288" s="39">
        <v>4</v>
      </c>
      <c r="AS288" s="39" t="s">
        <v>404</v>
      </c>
      <c r="AU288" s="39">
        <f>3.33*1000</f>
        <v>3330</v>
      </c>
      <c r="AV288" s="39">
        <f>3.33/1.09*10</f>
        <v>30.550458715596328</v>
      </c>
      <c r="AW288" s="63"/>
      <c r="AX288" s="39" t="s">
        <v>409</v>
      </c>
      <c r="BB288" s="39">
        <f>3.43*1000</f>
        <v>3430</v>
      </c>
      <c r="BC288" s="39">
        <f>2.83*1000</f>
        <v>2830</v>
      </c>
      <c r="BD288" s="39" t="s">
        <v>405</v>
      </c>
      <c r="BH288" s="39">
        <f>7.9/1000*100</f>
        <v>0.79</v>
      </c>
      <c r="BI288" s="39">
        <v>0.87</v>
      </c>
      <c r="BK288" s="39">
        <f>0.58*1000</f>
        <v>580</v>
      </c>
      <c r="BL288" s="39">
        <v>650</v>
      </c>
      <c r="BN288" s="39">
        <v>55</v>
      </c>
      <c r="BO288" s="39">
        <v>57</v>
      </c>
      <c r="BQ288" s="39">
        <v>105</v>
      </c>
      <c r="BR288" s="39">
        <v>97</v>
      </c>
      <c r="BT288" s="39">
        <v>6.7</v>
      </c>
      <c r="BU288" s="39">
        <v>6.7</v>
      </c>
      <c r="DS288" s="12"/>
      <c r="DU288" s="15"/>
      <c r="FA288" s="39" t="s">
        <v>419</v>
      </c>
      <c r="FC288" s="39">
        <v>19</v>
      </c>
    </row>
    <row r="289" spans="1:159" s="39" customFormat="1" x14ac:dyDescent="0.25">
      <c r="A289" s="39">
        <v>19</v>
      </c>
      <c r="B289" s="39" t="s">
        <v>400</v>
      </c>
      <c r="C289" s="39" t="s">
        <v>401</v>
      </c>
      <c r="D289" s="39">
        <v>1986</v>
      </c>
      <c r="E289" s="39">
        <v>1981</v>
      </c>
      <c r="F289" s="39" t="s">
        <v>363</v>
      </c>
      <c r="G289" s="39" t="s">
        <v>402</v>
      </c>
      <c r="H289" s="39">
        <v>33.32</v>
      </c>
      <c r="I289" s="39">
        <v>-84.43</v>
      </c>
      <c r="J289" s="39">
        <v>246.5</v>
      </c>
      <c r="P289" s="58" t="s">
        <v>179</v>
      </c>
      <c r="Q289" s="58"/>
      <c r="R289" s="58"/>
      <c r="S289" s="58" t="s">
        <v>1645</v>
      </c>
      <c r="T289" s="58" t="s">
        <v>1654</v>
      </c>
      <c r="X289" s="39" t="s">
        <v>403</v>
      </c>
      <c r="AB289" s="39" t="s">
        <v>1558</v>
      </c>
      <c r="AC289" s="39" t="s">
        <v>1805</v>
      </c>
      <c r="AD289" s="153" t="str">
        <f t="shared" si="49"/>
        <v>Crimson_clover</v>
      </c>
      <c r="AE289" s="39" t="s">
        <v>277</v>
      </c>
      <c r="AJ289" s="39" t="s">
        <v>275</v>
      </c>
      <c r="AK289" s="39" t="s">
        <v>275</v>
      </c>
      <c r="AL289" s="39" t="s">
        <v>230</v>
      </c>
      <c r="AM289" s="39" t="s">
        <v>407</v>
      </c>
      <c r="AN289" s="39" t="s">
        <v>407</v>
      </c>
      <c r="AP289" s="39" t="s">
        <v>154</v>
      </c>
      <c r="AQ289" s="39">
        <v>4</v>
      </c>
      <c r="AR289" s="39">
        <v>4</v>
      </c>
      <c r="AS289" s="39" t="s">
        <v>404</v>
      </c>
      <c r="AU289" s="39">
        <f>3.53*1000</f>
        <v>3530</v>
      </c>
      <c r="AV289" s="39">
        <f>3.53*10/2.92</f>
        <v>12.08904109589041</v>
      </c>
      <c r="AW289" s="63"/>
      <c r="AX289" s="39" t="s">
        <v>409</v>
      </c>
      <c r="BB289" s="39">
        <f t="shared" ref="BB289:BB292" si="50">3.43*1000</f>
        <v>3430</v>
      </c>
      <c r="BC289" s="39">
        <f>3.68*1000</f>
        <v>3680</v>
      </c>
      <c r="BD289" s="39" t="s">
        <v>405</v>
      </c>
      <c r="BH289" s="39">
        <f t="shared" ref="BH289:BH292" si="51">7.9/1000*100</f>
        <v>0.79</v>
      </c>
      <c r="BI289" s="39">
        <v>0.84</v>
      </c>
      <c r="BK289" s="39">
        <f t="shared" ref="BK289:BK292" si="52">0.58*1000</f>
        <v>580</v>
      </c>
      <c r="BL289" s="39">
        <v>650</v>
      </c>
      <c r="BN289" s="39">
        <v>55</v>
      </c>
      <c r="BO289" s="39">
        <v>38</v>
      </c>
      <c r="BQ289" s="39">
        <v>105</v>
      </c>
      <c r="BR289" s="39">
        <v>96</v>
      </c>
      <c r="BT289" s="39">
        <v>6.7</v>
      </c>
      <c r="BU289" s="39">
        <v>6.2</v>
      </c>
      <c r="DS289" s="12"/>
      <c r="DU289" s="15"/>
      <c r="FA289" s="39" t="s">
        <v>419</v>
      </c>
      <c r="FC289" s="39">
        <v>19</v>
      </c>
    </row>
    <row r="290" spans="1:159" s="39" customFormat="1" x14ac:dyDescent="0.25">
      <c r="A290" s="39">
        <v>19</v>
      </c>
      <c r="B290" s="39" t="s">
        <v>400</v>
      </c>
      <c r="C290" s="39" t="s">
        <v>401</v>
      </c>
      <c r="D290" s="39">
        <v>1986</v>
      </c>
      <c r="E290" s="39">
        <v>1981</v>
      </c>
      <c r="F290" s="39" t="s">
        <v>363</v>
      </c>
      <c r="G290" s="39" t="s">
        <v>402</v>
      </c>
      <c r="H290" s="39">
        <v>33.32</v>
      </c>
      <c r="I290" s="39">
        <v>-84.43</v>
      </c>
      <c r="J290" s="39">
        <v>246.5</v>
      </c>
      <c r="P290" s="58" t="s">
        <v>179</v>
      </c>
      <c r="Q290" s="58"/>
      <c r="R290" s="58"/>
      <c r="S290" s="58" t="s">
        <v>1645</v>
      </c>
      <c r="T290" s="58" t="s">
        <v>1654</v>
      </c>
      <c r="X290" s="39" t="s">
        <v>403</v>
      </c>
      <c r="AB290" s="39" t="s">
        <v>1558</v>
      </c>
      <c r="AC290" s="39" t="s">
        <v>1816</v>
      </c>
      <c r="AD290" s="153" t="str">
        <f t="shared" si="49"/>
        <v>Subterranean_clover</v>
      </c>
      <c r="AE290" s="39" t="s">
        <v>277</v>
      </c>
      <c r="AJ290" s="39" t="s">
        <v>275</v>
      </c>
      <c r="AK290" s="39" t="s">
        <v>275</v>
      </c>
      <c r="AL290" s="39" t="s">
        <v>230</v>
      </c>
      <c r="AM290" s="39" t="s">
        <v>407</v>
      </c>
      <c r="AN290" s="39" t="s">
        <v>407</v>
      </c>
      <c r="AP290" s="39" t="s">
        <v>154</v>
      </c>
      <c r="AQ290" s="39">
        <v>4</v>
      </c>
      <c r="AR290" s="39">
        <v>4</v>
      </c>
      <c r="AS290" s="39" t="s">
        <v>404</v>
      </c>
      <c r="AU290" s="39">
        <f>2.96*1000</f>
        <v>2960</v>
      </c>
      <c r="AV290" s="39">
        <f>2.96/2.77*10</f>
        <v>10.685920577617329</v>
      </c>
      <c r="AW290" s="63"/>
      <c r="AX290" s="39" t="s">
        <v>409</v>
      </c>
      <c r="BB290" s="39">
        <f t="shared" si="50"/>
        <v>3430</v>
      </c>
      <c r="BC290" s="39">
        <f>3.47*1000</f>
        <v>3470</v>
      </c>
      <c r="BD290" s="39" t="s">
        <v>405</v>
      </c>
      <c r="BH290" s="39">
        <f t="shared" si="51"/>
        <v>0.79</v>
      </c>
      <c r="BI290" s="39">
        <v>1</v>
      </c>
      <c r="BK290" s="39">
        <f t="shared" si="52"/>
        <v>580</v>
      </c>
      <c r="BL290" s="39">
        <v>810</v>
      </c>
      <c r="BN290" s="39">
        <v>55</v>
      </c>
      <c r="BO290" s="39">
        <v>38</v>
      </c>
      <c r="BQ290" s="39">
        <v>105</v>
      </c>
      <c r="BR290" s="39">
        <v>130</v>
      </c>
      <c r="BT290" s="39">
        <v>6.7</v>
      </c>
      <c r="BU290" s="39">
        <v>6.3</v>
      </c>
      <c r="DS290" s="12"/>
      <c r="DU290" s="15"/>
      <c r="FA290" s="39" t="s">
        <v>419</v>
      </c>
      <c r="FC290" s="39">
        <v>19</v>
      </c>
    </row>
    <row r="291" spans="1:159" s="39" customFormat="1" x14ac:dyDescent="0.25">
      <c r="A291" s="39">
        <v>19</v>
      </c>
      <c r="B291" s="39" t="s">
        <v>400</v>
      </c>
      <c r="C291" s="39" t="s">
        <v>401</v>
      </c>
      <c r="D291" s="39">
        <v>1986</v>
      </c>
      <c r="E291" s="39">
        <v>1981</v>
      </c>
      <c r="F291" s="39" t="s">
        <v>363</v>
      </c>
      <c r="G291" s="39" t="s">
        <v>402</v>
      </c>
      <c r="H291" s="39">
        <v>33.32</v>
      </c>
      <c r="I291" s="39">
        <v>-84.43</v>
      </c>
      <c r="J291" s="39">
        <v>246.5</v>
      </c>
      <c r="P291" s="58" t="s">
        <v>179</v>
      </c>
      <c r="Q291" s="58"/>
      <c r="R291" s="58"/>
      <c r="S291" s="58" t="s">
        <v>1645</v>
      </c>
      <c r="T291" s="58" t="s">
        <v>1654</v>
      </c>
      <c r="X291" s="39" t="s">
        <v>403</v>
      </c>
      <c r="AB291" s="39" t="s">
        <v>1558</v>
      </c>
      <c r="AC291" s="39" t="s">
        <v>301</v>
      </c>
      <c r="AD291" s="153" t="str">
        <f t="shared" si="49"/>
        <v>Vetch</v>
      </c>
      <c r="AE291" s="39" t="s">
        <v>277</v>
      </c>
      <c r="AJ291" s="39" t="s">
        <v>275</v>
      </c>
      <c r="AK291" s="39" t="s">
        <v>275</v>
      </c>
      <c r="AL291" s="39" t="s">
        <v>230</v>
      </c>
      <c r="AM291" s="39" t="s">
        <v>407</v>
      </c>
      <c r="AN291" s="39" t="s">
        <v>407</v>
      </c>
      <c r="AP291" s="39" t="s">
        <v>154</v>
      </c>
      <c r="AQ291" s="39">
        <v>4</v>
      </c>
      <c r="AR291" s="39">
        <v>4</v>
      </c>
      <c r="AS291" s="39" t="s">
        <v>404</v>
      </c>
      <c r="AU291" s="39">
        <f>4.06*1000</f>
        <v>4059.9999999999995</v>
      </c>
      <c r="AV291" s="39">
        <f>4.06/3.01*10</f>
        <v>13.488372093023255</v>
      </c>
      <c r="AW291" s="63"/>
      <c r="AX291" s="39" t="s">
        <v>409</v>
      </c>
      <c r="BB291" s="39">
        <f t="shared" si="50"/>
        <v>3430</v>
      </c>
      <c r="BC291" s="39">
        <f>4.17*1000</f>
        <v>4170</v>
      </c>
      <c r="BD291" s="39" t="s">
        <v>405</v>
      </c>
      <c r="BH291" s="39">
        <f t="shared" si="51"/>
        <v>0.79</v>
      </c>
      <c r="BI291" s="39">
        <v>0.97</v>
      </c>
      <c r="BK291" s="39">
        <f t="shared" si="52"/>
        <v>580</v>
      </c>
      <c r="BL291" s="39">
        <v>800</v>
      </c>
      <c r="BN291" s="39">
        <v>55</v>
      </c>
      <c r="BO291" s="39">
        <v>33</v>
      </c>
      <c r="BQ291" s="39">
        <v>105</v>
      </c>
      <c r="BR291" s="39">
        <v>127</v>
      </c>
      <c r="BT291" s="39">
        <v>6.7</v>
      </c>
      <c r="BU291" s="39">
        <v>6.3</v>
      </c>
      <c r="DS291" s="12"/>
      <c r="DU291" s="15"/>
      <c r="FA291" s="39" t="s">
        <v>419</v>
      </c>
      <c r="FC291" s="39">
        <v>19</v>
      </c>
    </row>
    <row r="292" spans="1:159" s="39" customFormat="1" x14ac:dyDescent="0.25">
      <c r="A292" s="39">
        <v>19</v>
      </c>
      <c r="B292" s="39" t="s">
        <v>400</v>
      </c>
      <c r="C292" s="39" t="s">
        <v>401</v>
      </c>
      <c r="D292" s="39">
        <v>1986</v>
      </c>
      <c r="E292" s="39">
        <v>1981</v>
      </c>
      <c r="F292" s="39" t="s">
        <v>363</v>
      </c>
      <c r="G292" s="39" t="s">
        <v>402</v>
      </c>
      <c r="H292" s="39">
        <v>33.32</v>
      </c>
      <c r="I292" s="39">
        <v>-84.43</v>
      </c>
      <c r="J292" s="39">
        <v>246.5</v>
      </c>
      <c r="P292" s="58" t="s">
        <v>179</v>
      </c>
      <c r="Q292" s="58"/>
      <c r="R292" s="58"/>
      <c r="S292" s="58" t="s">
        <v>1645</v>
      </c>
      <c r="T292" s="58" t="s">
        <v>1654</v>
      </c>
      <c r="X292" s="39" t="s">
        <v>403</v>
      </c>
      <c r="AB292" s="39" t="s">
        <v>1558</v>
      </c>
      <c r="AC292" s="39" t="s">
        <v>1817</v>
      </c>
      <c r="AD292" s="153" t="str">
        <f t="shared" si="49"/>
        <v>Common_Vetch</v>
      </c>
      <c r="AE292" s="39" t="s">
        <v>277</v>
      </c>
      <c r="AJ292" s="39" t="s">
        <v>275</v>
      </c>
      <c r="AK292" s="39" t="s">
        <v>275</v>
      </c>
      <c r="AL292" s="39" t="s">
        <v>230</v>
      </c>
      <c r="AM292" s="39" t="s">
        <v>407</v>
      </c>
      <c r="AN292" s="39" t="s">
        <v>407</v>
      </c>
      <c r="AP292" s="39" t="s">
        <v>154</v>
      </c>
      <c r="AQ292" s="39">
        <v>4</v>
      </c>
      <c r="AR292" s="39">
        <v>4</v>
      </c>
      <c r="AS292" s="39" t="s">
        <v>404</v>
      </c>
      <c r="AU292" s="39">
        <f>3.96*1000</f>
        <v>3960</v>
      </c>
      <c r="AV292" s="39">
        <f>3.96/2.96*10</f>
        <v>13.378378378378379</v>
      </c>
      <c r="AW292" s="63"/>
      <c r="AX292" s="39" t="s">
        <v>409</v>
      </c>
      <c r="BB292" s="39">
        <f t="shared" si="50"/>
        <v>3430</v>
      </c>
      <c r="BC292" s="39">
        <f>3.81*1000</f>
        <v>3810</v>
      </c>
      <c r="BD292" s="39" t="s">
        <v>405</v>
      </c>
      <c r="BH292" s="39">
        <f t="shared" si="51"/>
        <v>0.79</v>
      </c>
      <c r="BI292" s="39">
        <v>1.02</v>
      </c>
      <c r="BK292" s="39">
        <f t="shared" si="52"/>
        <v>580</v>
      </c>
      <c r="BL292" s="39">
        <v>630</v>
      </c>
      <c r="BN292" s="39">
        <v>55</v>
      </c>
      <c r="BO292" s="39">
        <v>43</v>
      </c>
      <c r="BQ292" s="39">
        <v>105</v>
      </c>
      <c r="BR292" s="39">
        <v>104</v>
      </c>
      <c r="BT292" s="39">
        <v>6.7</v>
      </c>
      <c r="BU292" s="39">
        <v>6.3</v>
      </c>
      <c r="DS292" s="12"/>
      <c r="DU292" s="15"/>
      <c r="FA292" s="39" t="s">
        <v>419</v>
      </c>
      <c r="FC292" s="39">
        <v>19</v>
      </c>
    </row>
    <row r="293" spans="1:159" s="26" customFormat="1" x14ac:dyDescent="0.25">
      <c r="A293" s="26">
        <v>19</v>
      </c>
      <c r="B293" s="26" t="s">
        <v>400</v>
      </c>
      <c r="C293" s="26" t="s">
        <v>401</v>
      </c>
      <c r="D293" s="26">
        <v>1986</v>
      </c>
      <c r="E293" s="26">
        <v>1982</v>
      </c>
      <c r="F293" s="26" t="s">
        <v>363</v>
      </c>
      <c r="G293" s="26" t="s">
        <v>402</v>
      </c>
      <c r="H293" s="26">
        <v>33.32</v>
      </c>
      <c r="I293" s="26">
        <v>-84.43</v>
      </c>
      <c r="J293" s="26">
        <v>246.5</v>
      </c>
      <c r="P293" s="52" t="s">
        <v>180</v>
      </c>
      <c r="Q293" s="52"/>
      <c r="R293" s="52"/>
      <c r="S293" s="52" t="s">
        <v>1646</v>
      </c>
      <c r="T293" s="52" t="s">
        <v>1654</v>
      </c>
      <c r="X293" s="26" t="s">
        <v>403</v>
      </c>
      <c r="AB293" s="26" t="s">
        <v>1558</v>
      </c>
      <c r="AC293" s="26" t="s">
        <v>166</v>
      </c>
      <c r="AD293" s="153" t="str">
        <f t="shared" si="49"/>
        <v>Rye</v>
      </c>
      <c r="AE293" s="26" t="s">
        <v>277</v>
      </c>
      <c r="AJ293" s="26" t="s">
        <v>275</v>
      </c>
      <c r="AK293" s="26" t="s">
        <v>275</v>
      </c>
      <c r="AL293" s="26" t="s">
        <v>230</v>
      </c>
      <c r="AM293" s="39" t="s">
        <v>407</v>
      </c>
      <c r="AN293" s="39" t="s">
        <v>407</v>
      </c>
      <c r="AO293" s="39"/>
      <c r="AP293" s="26" t="s">
        <v>154</v>
      </c>
      <c r="AQ293" s="26">
        <v>4</v>
      </c>
      <c r="AR293" s="26">
        <v>4</v>
      </c>
      <c r="AS293" s="26" t="s">
        <v>404</v>
      </c>
      <c r="AU293" s="26">
        <f>3.93*1000</f>
        <v>3930</v>
      </c>
      <c r="AV293" s="26">
        <f>3.93/0.89*10</f>
        <v>44.157303370786522</v>
      </c>
      <c r="AW293" s="63"/>
      <c r="AX293" s="39" t="s">
        <v>409</v>
      </c>
      <c r="BB293" s="26">
        <f>2.92*1000</f>
        <v>2920</v>
      </c>
      <c r="BC293" s="26">
        <f>2.81*1000</f>
        <v>2810</v>
      </c>
      <c r="BD293" s="39" t="s">
        <v>405</v>
      </c>
      <c r="BH293" s="26">
        <v>0.48</v>
      </c>
      <c r="BI293" s="26">
        <v>0.54</v>
      </c>
      <c r="BK293" s="26">
        <f>0.37*1000</f>
        <v>370</v>
      </c>
      <c r="BL293" s="26">
        <v>420</v>
      </c>
      <c r="BM293" s="39"/>
      <c r="BN293" s="26">
        <v>19</v>
      </c>
      <c r="BO293" s="26">
        <v>23</v>
      </c>
      <c r="BQ293" s="26">
        <v>100</v>
      </c>
      <c r="BR293" s="26">
        <v>89</v>
      </c>
      <c r="BT293" s="26">
        <v>6.5</v>
      </c>
      <c r="BU293" s="26">
        <v>6.6</v>
      </c>
      <c r="DS293" s="12"/>
      <c r="DU293" s="15"/>
      <c r="FA293" s="39" t="s">
        <v>419</v>
      </c>
      <c r="FC293" s="26">
        <v>19</v>
      </c>
    </row>
    <row r="294" spans="1:159" s="26" customFormat="1" x14ac:dyDescent="0.25">
      <c r="A294" s="26">
        <v>19</v>
      </c>
      <c r="B294" s="26" t="s">
        <v>400</v>
      </c>
      <c r="C294" s="26" t="s">
        <v>401</v>
      </c>
      <c r="D294" s="26">
        <v>1986</v>
      </c>
      <c r="E294" s="26">
        <v>1982</v>
      </c>
      <c r="F294" s="26" t="s">
        <v>363</v>
      </c>
      <c r="G294" s="26" t="s">
        <v>402</v>
      </c>
      <c r="H294" s="26">
        <v>33.32</v>
      </c>
      <c r="I294" s="26">
        <v>-84.43</v>
      </c>
      <c r="J294" s="26">
        <v>246.5</v>
      </c>
      <c r="P294" s="52" t="s">
        <v>180</v>
      </c>
      <c r="Q294" s="52"/>
      <c r="R294" s="52"/>
      <c r="S294" s="52" t="s">
        <v>1646</v>
      </c>
      <c r="T294" s="52" t="s">
        <v>1654</v>
      </c>
      <c r="X294" s="26" t="s">
        <v>403</v>
      </c>
      <c r="AB294" s="26" t="s">
        <v>1558</v>
      </c>
      <c r="AC294" s="26" t="s">
        <v>1805</v>
      </c>
      <c r="AD294" s="153" t="str">
        <f t="shared" si="49"/>
        <v>Crimson_clover</v>
      </c>
      <c r="AE294" s="26" t="s">
        <v>277</v>
      </c>
      <c r="AJ294" s="26" t="s">
        <v>275</v>
      </c>
      <c r="AK294" s="26" t="s">
        <v>275</v>
      </c>
      <c r="AL294" s="26" t="s">
        <v>230</v>
      </c>
      <c r="AM294" s="39" t="s">
        <v>407</v>
      </c>
      <c r="AN294" s="39" t="s">
        <v>407</v>
      </c>
      <c r="AO294" s="39"/>
      <c r="AP294" s="26" t="s">
        <v>154</v>
      </c>
      <c r="AQ294" s="26">
        <v>4</v>
      </c>
      <c r="AR294" s="26">
        <v>4</v>
      </c>
      <c r="AS294" s="26" t="s">
        <v>404</v>
      </c>
      <c r="AU294" s="26">
        <f>9.21*1000</f>
        <v>9210</v>
      </c>
      <c r="AV294" s="26">
        <f>9.21/2.18*10</f>
        <v>42.247706422018354</v>
      </c>
      <c r="AW294" s="63"/>
      <c r="AX294" s="39" t="s">
        <v>409</v>
      </c>
      <c r="BB294" s="26">
        <f t="shared" ref="BB294:BB297" si="53">2.92*1000</f>
        <v>2920</v>
      </c>
      <c r="BC294" s="26">
        <f>4.96*1000</f>
        <v>4960</v>
      </c>
      <c r="BD294" s="39" t="s">
        <v>405</v>
      </c>
      <c r="BH294" s="26">
        <v>0.48</v>
      </c>
      <c r="BI294" s="26">
        <v>0.49</v>
      </c>
      <c r="BK294" s="26">
        <f t="shared" ref="BK294:BK297" si="54">0.37*1000</f>
        <v>370</v>
      </c>
      <c r="BL294" s="26">
        <v>410</v>
      </c>
      <c r="BM294" s="39"/>
      <c r="BN294" s="26">
        <v>19</v>
      </c>
      <c r="BO294" s="26">
        <v>16</v>
      </c>
      <c r="BQ294" s="26">
        <v>100</v>
      </c>
      <c r="BR294" s="26">
        <v>72</v>
      </c>
      <c r="BT294" s="26">
        <v>6.5</v>
      </c>
      <c r="BU294" s="26">
        <v>6.1</v>
      </c>
      <c r="DS294" s="12"/>
      <c r="DU294" s="15"/>
      <c r="FA294" s="39" t="s">
        <v>419</v>
      </c>
      <c r="FC294" s="26">
        <v>19</v>
      </c>
    </row>
    <row r="295" spans="1:159" s="26" customFormat="1" x14ac:dyDescent="0.25">
      <c r="A295" s="26">
        <v>19</v>
      </c>
      <c r="B295" s="26" t="s">
        <v>400</v>
      </c>
      <c r="C295" s="26" t="s">
        <v>401</v>
      </c>
      <c r="D295" s="26">
        <v>1986</v>
      </c>
      <c r="E295" s="26">
        <v>1982</v>
      </c>
      <c r="F295" s="26" t="s">
        <v>363</v>
      </c>
      <c r="G295" s="26" t="s">
        <v>402</v>
      </c>
      <c r="H295" s="26">
        <v>33.32</v>
      </c>
      <c r="I295" s="26">
        <v>-84.43</v>
      </c>
      <c r="J295" s="26">
        <v>246.5</v>
      </c>
      <c r="P295" s="52" t="s">
        <v>180</v>
      </c>
      <c r="Q295" s="52"/>
      <c r="R295" s="52"/>
      <c r="S295" s="52" t="s">
        <v>1646</v>
      </c>
      <c r="T295" s="52" t="s">
        <v>1654</v>
      </c>
      <c r="X295" s="26" t="s">
        <v>403</v>
      </c>
      <c r="AB295" s="26" t="s">
        <v>1558</v>
      </c>
      <c r="AC295" s="26" t="s">
        <v>1816</v>
      </c>
      <c r="AD295" s="153" t="str">
        <f t="shared" si="49"/>
        <v>Subterranean_clover</v>
      </c>
      <c r="AE295" s="26" t="s">
        <v>277</v>
      </c>
      <c r="AJ295" s="26" t="s">
        <v>275</v>
      </c>
      <c r="AK295" s="26" t="s">
        <v>275</v>
      </c>
      <c r="AL295" s="26" t="s">
        <v>230</v>
      </c>
      <c r="AM295" s="39" t="s">
        <v>407</v>
      </c>
      <c r="AN295" s="39" t="s">
        <v>407</v>
      </c>
      <c r="AO295" s="39"/>
      <c r="AP295" s="26" t="s">
        <v>154</v>
      </c>
      <c r="AQ295" s="26">
        <v>4</v>
      </c>
      <c r="AR295" s="26">
        <v>4</v>
      </c>
      <c r="AS295" s="26" t="s">
        <v>404</v>
      </c>
      <c r="AU295" s="26">
        <f>4.06*1000</f>
        <v>4059.9999999999995</v>
      </c>
      <c r="AV295" s="26">
        <f>4.06/2.77*10</f>
        <v>14.657039711191334</v>
      </c>
      <c r="AW295" s="63"/>
      <c r="AX295" s="39" t="s">
        <v>409</v>
      </c>
      <c r="BB295" s="26">
        <f t="shared" si="53"/>
        <v>2920</v>
      </c>
      <c r="BC295" s="26">
        <f>5.44*1000</f>
        <v>5440</v>
      </c>
      <c r="BD295" s="39" t="s">
        <v>405</v>
      </c>
      <c r="BH295" s="26">
        <v>0.48</v>
      </c>
      <c r="BI295" s="26">
        <v>0.55000000000000004</v>
      </c>
      <c r="BK295" s="26">
        <f t="shared" si="54"/>
        <v>370</v>
      </c>
      <c r="BL295" s="26">
        <v>480</v>
      </c>
      <c r="BM295" s="39"/>
      <c r="BN295" s="26">
        <v>19</v>
      </c>
      <c r="BO295" s="26">
        <v>18</v>
      </c>
      <c r="BQ295" s="26">
        <v>100</v>
      </c>
      <c r="BR295" s="26">
        <v>90</v>
      </c>
      <c r="BT295" s="26">
        <v>6.5</v>
      </c>
      <c r="BU295" s="26">
        <v>6.2</v>
      </c>
      <c r="DS295" s="12"/>
      <c r="DU295" s="15"/>
      <c r="FA295" s="39" t="s">
        <v>419</v>
      </c>
      <c r="FC295" s="26">
        <v>19</v>
      </c>
    </row>
    <row r="296" spans="1:159" s="26" customFormat="1" x14ac:dyDescent="0.25">
      <c r="A296" s="26">
        <v>19</v>
      </c>
      <c r="B296" s="26" t="s">
        <v>400</v>
      </c>
      <c r="C296" s="26" t="s">
        <v>401</v>
      </c>
      <c r="D296" s="26">
        <v>1986</v>
      </c>
      <c r="E296" s="26">
        <v>1982</v>
      </c>
      <c r="F296" s="26" t="s">
        <v>363</v>
      </c>
      <c r="G296" s="26" t="s">
        <v>402</v>
      </c>
      <c r="H296" s="26">
        <v>33.32</v>
      </c>
      <c r="I296" s="26">
        <v>-84.43</v>
      </c>
      <c r="J296" s="26">
        <v>246.5</v>
      </c>
      <c r="P296" s="52" t="s">
        <v>180</v>
      </c>
      <c r="Q296" s="52"/>
      <c r="R296" s="52"/>
      <c r="S296" s="52" t="s">
        <v>1646</v>
      </c>
      <c r="T296" s="52" t="s">
        <v>1654</v>
      </c>
      <c r="X296" s="26" t="s">
        <v>403</v>
      </c>
      <c r="AB296" s="26" t="s">
        <v>1558</v>
      </c>
      <c r="AC296" s="26" t="s">
        <v>301</v>
      </c>
      <c r="AD296" s="153" t="str">
        <f t="shared" si="49"/>
        <v>Vetch</v>
      </c>
      <c r="AE296" s="26" t="s">
        <v>277</v>
      </c>
      <c r="AJ296" s="26" t="s">
        <v>275</v>
      </c>
      <c r="AK296" s="26" t="s">
        <v>275</v>
      </c>
      <c r="AL296" s="26" t="s">
        <v>230</v>
      </c>
      <c r="AM296" s="39" t="s">
        <v>407</v>
      </c>
      <c r="AN296" s="39" t="s">
        <v>407</v>
      </c>
      <c r="AO296" s="39"/>
      <c r="AP296" s="26" t="s">
        <v>154</v>
      </c>
      <c r="AQ296" s="26">
        <v>4</v>
      </c>
      <c r="AR296" s="26">
        <v>4</v>
      </c>
      <c r="AS296" s="26" t="s">
        <v>404</v>
      </c>
      <c r="AU296" s="26">
        <f>4.54*1000</f>
        <v>4540</v>
      </c>
      <c r="AV296" s="26">
        <f>4.54/3.38*10</f>
        <v>13.431952662721894</v>
      </c>
      <c r="AW296" s="63"/>
      <c r="AX296" s="39" t="s">
        <v>409</v>
      </c>
      <c r="BB296" s="26">
        <f t="shared" si="53"/>
        <v>2920</v>
      </c>
      <c r="BC296" s="26">
        <f>4.73*1000</f>
        <v>4730</v>
      </c>
      <c r="BD296" s="39" t="s">
        <v>405</v>
      </c>
      <c r="BH296" s="26">
        <v>0.48</v>
      </c>
      <c r="BI296" s="26">
        <v>0.55000000000000004</v>
      </c>
      <c r="BK296" s="26">
        <f t="shared" si="54"/>
        <v>370</v>
      </c>
      <c r="BL296" s="26">
        <v>510</v>
      </c>
      <c r="BM296" s="39"/>
      <c r="BN296" s="26">
        <v>19</v>
      </c>
      <c r="BO296" s="26">
        <v>8</v>
      </c>
      <c r="BQ296" s="26">
        <v>100</v>
      </c>
      <c r="BR296" s="26">
        <v>108</v>
      </c>
      <c r="BT296" s="26">
        <v>6.5</v>
      </c>
      <c r="BU296" s="26">
        <v>6.3</v>
      </c>
      <c r="DS296" s="12"/>
      <c r="DU296" s="15"/>
      <c r="FA296" s="39" t="s">
        <v>419</v>
      </c>
      <c r="FC296" s="26">
        <v>19</v>
      </c>
    </row>
    <row r="297" spans="1:159" s="26" customFormat="1" x14ac:dyDescent="0.25">
      <c r="A297" s="26">
        <v>19</v>
      </c>
      <c r="B297" s="26" t="s">
        <v>400</v>
      </c>
      <c r="C297" s="26" t="s">
        <v>401</v>
      </c>
      <c r="D297" s="26">
        <v>1986</v>
      </c>
      <c r="E297" s="26">
        <v>1982</v>
      </c>
      <c r="F297" s="26" t="s">
        <v>363</v>
      </c>
      <c r="G297" s="26" t="s">
        <v>402</v>
      </c>
      <c r="H297" s="26">
        <v>33.32</v>
      </c>
      <c r="I297" s="26">
        <v>-84.43</v>
      </c>
      <c r="J297" s="26">
        <v>246.5</v>
      </c>
      <c r="P297" s="52" t="s">
        <v>180</v>
      </c>
      <c r="Q297" s="52"/>
      <c r="R297" s="52"/>
      <c r="S297" s="52" t="s">
        <v>1646</v>
      </c>
      <c r="T297" s="52" t="s">
        <v>1654</v>
      </c>
      <c r="X297" s="26" t="s">
        <v>403</v>
      </c>
      <c r="AB297" s="26" t="s">
        <v>1558</v>
      </c>
      <c r="AC297" s="26" t="s">
        <v>1817</v>
      </c>
      <c r="AD297" s="153" t="str">
        <f t="shared" si="49"/>
        <v>Common_Vetch</v>
      </c>
      <c r="AE297" s="26" t="s">
        <v>277</v>
      </c>
      <c r="AJ297" s="26" t="s">
        <v>275</v>
      </c>
      <c r="AK297" s="26" t="s">
        <v>275</v>
      </c>
      <c r="AL297" s="26" t="s">
        <v>230</v>
      </c>
      <c r="AM297" s="39" t="s">
        <v>407</v>
      </c>
      <c r="AN297" s="39" t="s">
        <v>407</v>
      </c>
      <c r="AO297" s="39"/>
      <c r="AP297" s="26" t="s">
        <v>154</v>
      </c>
      <c r="AQ297" s="26">
        <v>4</v>
      </c>
      <c r="AR297" s="26">
        <v>4</v>
      </c>
      <c r="AS297" s="26" t="s">
        <v>404</v>
      </c>
      <c r="AU297" s="26">
        <f>4.7*1000</f>
        <v>4700</v>
      </c>
      <c r="AV297" s="26">
        <f>4.7/3*10</f>
        <v>15.666666666666666</v>
      </c>
      <c r="AW297" s="63"/>
      <c r="AX297" s="39" t="s">
        <v>409</v>
      </c>
      <c r="BB297" s="26">
        <f t="shared" si="53"/>
        <v>2920</v>
      </c>
      <c r="BC297" s="26">
        <f>4.34*1000</f>
        <v>4340</v>
      </c>
      <c r="BD297" s="39" t="s">
        <v>405</v>
      </c>
      <c r="BH297" s="26">
        <v>0.48</v>
      </c>
      <c r="BI297" s="26">
        <v>0.51</v>
      </c>
      <c r="BK297" s="26">
        <f t="shared" si="54"/>
        <v>370</v>
      </c>
      <c r="BL297" s="26">
        <v>450</v>
      </c>
      <c r="BM297" s="39"/>
      <c r="BN297" s="26">
        <v>19</v>
      </c>
      <c r="BO297" s="26">
        <v>17</v>
      </c>
      <c r="BQ297" s="26">
        <v>100</v>
      </c>
      <c r="BR297" s="26">
        <v>85</v>
      </c>
      <c r="BT297" s="26">
        <v>6.5</v>
      </c>
      <c r="BU297" s="26">
        <v>6.3</v>
      </c>
      <c r="DS297" s="12"/>
      <c r="DU297" s="15"/>
      <c r="FA297" s="39" t="s">
        <v>419</v>
      </c>
      <c r="FC297" s="26">
        <v>19</v>
      </c>
    </row>
    <row r="298" spans="1:159" s="39" customFormat="1" x14ac:dyDescent="0.25">
      <c r="A298" s="39">
        <v>19</v>
      </c>
      <c r="B298" s="39" t="s">
        <v>400</v>
      </c>
      <c r="C298" s="39" t="s">
        <v>401</v>
      </c>
      <c r="D298" s="39">
        <v>1986</v>
      </c>
      <c r="E298" s="39">
        <v>1983</v>
      </c>
      <c r="F298" s="39" t="s">
        <v>363</v>
      </c>
      <c r="G298" s="39" t="s">
        <v>402</v>
      </c>
      <c r="H298" s="39">
        <v>33.32</v>
      </c>
      <c r="I298" s="39">
        <v>-84.43</v>
      </c>
      <c r="J298" s="39">
        <v>246.5</v>
      </c>
      <c r="P298" s="58" t="s">
        <v>181</v>
      </c>
      <c r="Q298" s="58"/>
      <c r="R298" s="58"/>
      <c r="S298" s="58" t="s">
        <v>1655</v>
      </c>
      <c r="T298" s="58" t="s">
        <v>1654</v>
      </c>
      <c r="X298" s="39" t="s">
        <v>403</v>
      </c>
      <c r="AB298" s="39" t="s">
        <v>1558</v>
      </c>
      <c r="AC298" s="39" t="s">
        <v>166</v>
      </c>
      <c r="AD298" s="153" t="str">
        <f t="shared" si="49"/>
        <v>Rye</v>
      </c>
      <c r="AE298" s="39" t="s">
        <v>277</v>
      </c>
      <c r="AJ298" s="39" t="s">
        <v>275</v>
      </c>
      <c r="AK298" s="39" t="s">
        <v>275</v>
      </c>
      <c r="AL298" s="39" t="s">
        <v>230</v>
      </c>
      <c r="AM298" s="39" t="s">
        <v>407</v>
      </c>
      <c r="AN298" s="39" t="s">
        <v>407</v>
      </c>
      <c r="AP298" s="39" t="s">
        <v>154</v>
      </c>
      <c r="AQ298" s="39">
        <v>4</v>
      </c>
      <c r="AR298" s="39">
        <v>4</v>
      </c>
      <c r="AS298" s="39" t="s">
        <v>404</v>
      </c>
      <c r="AU298" s="39">
        <f>4.83*1000</f>
        <v>4830</v>
      </c>
      <c r="AV298" s="39">
        <f>4.83/0.97*10</f>
        <v>49.793814432989691</v>
      </c>
      <c r="AW298" s="63"/>
      <c r="AX298" s="39" t="s">
        <v>409</v>
      </c>
      <c r="BB298" s="39">
        <f>2.33*1000</f>
        <v>2330</v>
      </c>
      <c r="BC298" s="39">
        <f>2.03*1000</f>
        <v>2029.9999999999998</v>
      </c>
      <c r="BD298" s="39" t="s">
        <v>405</v>
      </c>
      <c r="BH298" s="39">
        <v>0.37</v>
      </c>
      <c r="BI298" s="39">
        <v>0.39</v>
      </c>
      <c r="BK298" s="39">
        <f>0.34*1000</f>
        <v>340</v>
      </c>
      <c r="BL298" s="39">
        <v>340</v>
      </c>
      <c r="BN298" s="39">
        <v>3.4</v>
      </c>
      <c r="BO298" s="39">
        <v>4.5999999999999996</v>
      </c>
      <c r="BQ298" s="39">
        <v>109</v>
      </c>
      <c r="BR298" s="39">
        <v>96</v>
      </c>
      <c r="BT298" s="39">
        <v>6.2</v>
      </c>
      <c r="BU298" s="39">
        <v>6.2</v>
      </c>
      <c r="DS298" s="12"/>
      <c r="DU298" s="15"/>
      <c r="FA298" s="39" t="s">
        <v>419</v>
      </c>
      <c r="FC298" s="39">
        <v>19</v>
      </c>
    </row>
    <row r="299" spans="1:159" s="39" customFormat="1" x14ac:dyDescent="0.25">
      <c r="A299" s="39">
        <v>19</v>
      </c>
      <c r="B299" s="39" t="s">
        <v>400</v>
      </c>
      <c r="C299" s="39" t="s">
        <v>401</v>
      </c>
      <c r="D299" s="39">
        <v>1986</v>
      </c>
      <c r="E299" s="39">
        <v>1983</v>
      </c>
      <c r="F299" s="39" t="s">
        <v>363</v>
      </c>
      <c r="G299" s="39" t="s">
        <v>402</v>
      </c>
      <c r="H299" s="39">
        <v>33.32</v>
      </c>
      <c r="I299" s="39">
        <v>-84.43</v>
      </c>
      <c r="J299" s="39">
        <v>246.5</v>
      </c>
      <c r="P299" s="58" t="s">
        <v>181</v>
      </c>
      <c r="Q299" s="58"/>
      <c r="R299" s="58"/>
      <c r="S299" s="58" t="s">
        <v>1655</v>
      </c>
      <c r="T299" s="58" t="s">
        <v>1654</v>
      </c>
      <c r="X299" s="39" t="s">
        <v>403</v>
      </c>
      <c r="AB299" s="39" t="s">
        <v>1558</v>
      </c>
      <c r="AC299" s="39" t="s">
        <v>1805</v>
      </c>
      <c r="AD299" s="153" t="str">
        <f t="shared" si="49"/>
        <v>Crimson_clover</v>
      </c>
      <c r="AE299" s="39" t="s">
        <v>277</v>
      </c>
      <c r="AJ299" s="39" t="s">
        <v>275</v>
      </c>
      <c r="AK299" s="39" t="s">
        <v>275</v>
      </c>
      <c r="AL299" s="39" t="s">
        <v>230</v>
      </c>
      <c r="AM299" s="39" t="s">
        <v>407</v>
      </c>
      <c r="AN299" s="39" t="s">
        <v>407</v>
      </c>
      <c r="AP299" s="39" t="s">
        <v>154</v>
      </c>
      <c r="AQ299" s="39">
        <v>4</v>
      </c>
      <c r="AR299" s="39">
        <v>4</v>
      </c>
      <c r="AS299" s="39" t="s">
        <v>404</v>
      </c>
      <c r="AU299" s="39">
        <f>8.77*1000</f>
        <v>8770</v>
      </c>
      <c r="AV299" s="39">
        <f>8.77/2.47*10</f>
        <v>35.506072874493924</v>
      </c>
      <c r="AW299" s="63"/>
      <c r="AX299" s="39" t="s">
        <v>409</v>
      </c>
      <c r="BB299" s="39">
        <f t="shared" ref="BB299:BB302" si="55">2.33*1000</f>
        <v>2330</v>
      </c>
      <c r="BC299" s="39">
        <f>3.18*1000</f>
        <v>3180</v>
      </c>
      <c r="BD299" s="39" t="s">
        <v>405</v>
      </c>
      <c r="BH299" s="39">
        <v>0.37</v>
      </c>
      <c r="BI299" s="39">
        <v>0.36</v>
      </c>
      <c r="BK299" s="39">
        <f t="shared" ref="BK299:BK302" si="56">0.34*1000</f>
        <v>340</v>
      </c>
      <c r="BL299" s="39">
        <v>340</v>
      </c>
      <c r="BN299" s="39">
        <v>3.4</v>
      </c>
      <c r="BO299" s="39">
        <v>3</v>
      </c>
      <c r="BQ299" s="39">
        <v>109</v>
      </c>
      <c r="BR299" s="39">
        <v>71</v>
      </c>
      <c r="BT299" s="39">
        <v>6.2</v>
      </c>
      <c r="BU299" s="39">
        <v>5.9</v>
      </c>
      <c r="DS299" s="12"/>
      <c r="DU299" s="15"/>
      <c r="FA299" s="39" t="s">
        <v>419</v>
      </c>
      <c r="FC299" s="39">
        <v>19</v>
      </c>
    </row>
    <row r="300" spans="1:159" s="39" customFormat="1" x14ac:dyDescent="0.25">
      <c r="A300" s="39">
        <v>19</v>
      </c>
      <c r="B300" s="39" t="s">
        <v>400</v>
      </c>
      <c r="C300" s="39" t="s">
        <v>401</v>
      </c>
      <c r="D300" s="39">
        <v>1986</v>
      </c>
      <c r="E300" s="39">
        <v>1983</v>
      </c>
      <c r="F300" s="39" t="s">
        <v>363</v>
      </c>
      <c r="G300" s="39" t="s">
        <v>402</v>
      </c>
      <c r="H300" s="39">
        <v>33.32</v>
      </c>
      <c r="I300" s="39">
        <v>-84.43</v>
      </c>
      <c r="J300" s="39">
        <v>246.5</v>
      </c>
      <c r="P300" s="58" t="s">
        <v>181</v>
      </c>
      <c r="Q300" s="58"/>
      <c r="R300" s="58"/>
      <c r="S300" s="58" t="s">
        <v>1655</v>
      </c>
      <c r="T300" s="58" t="s">
        <v>1654</v>
      </c>
      <c r="X300" s="39" t="s">
        <v>403</v>
      </c>
      <c r="AB300" s="39" t="s">
        <v>1558</v>
      </c>
      <c r="AC300" s="39" t="s">
        <v>1816</v>
      </c>
      <c r="AD300" s="153" t="str">
        <f t="shared" si="49"/>
        <v>Subterranean_clover</v>
      </c>
      <c r="AE300" s="39" t="s">
        <v>277</v>
      </c>
      <c r="AJ300" s="39" t="s">
        <v>275</v>
      </c>
      <c r="AK300" s="39" t="s">
        <v>275</v>
      </c>
      <c r="AL300" s="39" t="s">
        <v>230</v>
      </c>
      <c r="AM300" s="39" t="s">
        <v>407</v>
      </c>
      <c r="AN300" s="39" t="s">
        <v>407</v>
      </c>
      <c r="AP300" s="39" t="s">
        <v>154</v>
      </c>
      <c r="AQ300" s="39">
        <v>4</v>
      </c>
      <c r="AR300" s="39">
        <v>4</v>
      </c>
      <c r="AS300" s="39" t="s">
        <v>404</v>
      </c>
      <c r="AU300" s="39">
        <f>4.97*1000</f>
        <v>4970</v>
      </c>
      <c r="AV300" s="39">
        <f>4.97/2.99*10</f>
        <v>16.622073578595316</v>
      </c>
      <c r="AW300" s="63"/>
      <c r="AX300" s="39" t="s">
        <v>409</v>
      </c>
      <c r="BB300" s="39">
        <f t="shared" si="55"/>
        <v>2330</v>
      </c>
      <c r="BC300" s="39">
        <f>2.72*1000</f>
        <v>2720</v>
      </c>
      <c r="BD300" s="39" t="s">
        <v>405</v>
      </c>
      <c r="BH300" s="39">
        <v>0.37</v>
      </c>
      <c r="BI300" s="39">
        <v>0.37</v>
      </c>
      <c r="BK300" s="39">
        <f t="shared" si="56"/>
        <v>340</v>
      </c>
      <c r="BL300" s="39">
        <v>350</v>
      </c>
      <c r="BN300" s="39">
        <v>3.4</v>
      </c>
      <c r="BO300" s="39">
        <v>5.2</v>
      </c>
      <c r="BQ300" s="39">
        <v>109</v>
      </c>
      <c r="BR300" s="39">
        <v>79</v>
      </c>
      <c r="BT300" s="39">
        <v>6.2</v>
      </c>
      <c r="BU300" s="39">
        <v>5.9</v>
      </c>
      <c r="DS300" s="12"/>
      <c r="DU300" s="15"/>
      <c r="FA300" s="39" t="s">
        <v>419</v>
      </c>
      <c r="FC300" s="39">
        <v>19</v>
      </c>
    </row>
    <row r="301" spans="1:159" s="39" customFormat="1" x14ac:dyDescent="0.25">
      <c r="A301" s="39">
        <v>19</v>
      </c>
      <c r="B301" s="39" t="s">
        <v>400</v>
      </c>
      <c r="C301" s="39" t="s">
        <v>401</v>
      </c>
      <c r="D301" s="39">
        <v>1986</v>
      </c>
      <c r="E301" s="39">
        <v>1983</v>
      </c>
      <c r="F301" s="39" t="s">
        <v>363</v>
      </c>
      <c r="G301" s="39" t="s">
        <v>402</v>
      </c>
      <c r="H301" s="39">
        <v>33.32</v>
      </c>
      <c r="I301" s="39">
        <v>-84.43</v>
      </c>
      <c r="J301" s="39">
        <v>246.5</v>
      </c>
      <c r="P301" s="58" t="s">
        <v>181</v>
      </c>
      <c r="Q301" s="58"/>
      <c r="R301" s="58"/>
      <c r="S301" s="58" t="s">
        <v>1655</v>
      </c>
      <c r="T301" s="58" t="s">
        <v>1654</v>
      </c>
      <c r="X301" s="39" t="s">
        <v>403</v>
      </c>
      <c r="AB301" s="39" t="s">
        <v>1558</v>
      </c>
      <c r="AC301" s="39" t="s">
        <v>301</v>
      </c>
      <c r="AD301" s="153" t="str">
        <f t="shared" si="49"/>
        <v>Vetch</v>
      </c>
      <c r="AE301" s="39" t="s">
        <v>277</v>
      </c>
      <c r="AJ301" s="39" t="s">
        <v>275</v>
      </c>
      <c r="AK301" s="39" t="s">
        <v>275</v>
      </c>
      <c r="AL301" s="39" t="s">
        <v>230</v>
      </c>
      <c r="AM301" s="39" t="s">
        <v>407</v>
      </c>
      <c r="AN301" s="39" t="s">
        <v>407</v>
      </c>
      <c r="AP301" s="39" t="s">
        <v>154</v>
      </c>
      <c r="AQ301" s="39">
        <v>4</v>
      </c>
      <c r="AR301" s="39">
        <v>4</v>
      </c>
      <c r="AS301" s="39" t="s">
        <v>404</v>
      </c>
      <c r="AU301" s="39">
        <f>4.15*1000</f>
        <v>4150</v>
      </c>
      <c r="AV301" s="39">
        <f>4.15/4.5*10</f>
        <v>9.2222222222222232</v>
      </c>
      <c r="AW301" s="63"/>
      <c r="AX301" s="39" t="s">
        <v>409</v>
      </c>
      <c r="BB301" s="39">
        <f t="shared" si="55"/>
        <v>2330</v>
      </c>
      <c r="BC301" s="39">
        <f>2.99*1000</f>
        <v>2990</v>
      </c>
      <c r="BD301" s="39" t="s">
        <v>405</v>
      </c>
      <c r="BH301" s="39">
        <v>0.37</v>
      </c>
      <c r="BI301" s="39">
        <v>0.39</v>
      </c>
      <c r="BK301" s="39">
        <f t="shared" si="56"/>
        <v>340</v>
      </c>
      <c r="BL301" s="39">
        <v>390</v>
      </c>
      <c r="BN301" s="39">
        <v>3.4</v>
      </c>
      <c r="BO301" s="39">
        <v>2.2000000000000002</v>
      </c>
      <c r="BQ301" s="39">
        <v>109</v>
      </c>
      <c r="BR301" s="39">
        <v>86</v>
      </c>
      <c r="BT301" s="39">
        <v>6.2</v>
      </c>
      <c r="BU301" s="39">
        <v>6.1</v>
      </c>
      <c r="DS301" s="12"/>
      <c r="DU301" s="15"/>
      <c r="FA301" s="39" t="s">
        <v>419</v>
      </c>
      <c r="FC301" s="39">
        <v>19</v>
      </c>
    </row>
    <row r="302" spans="1:159" s="39" customFormat="1" x14ac:dyDescent="0.25">
      <c r="A302" s="39">
        <v>19</v>
      </c>
      <c r="B302" s="39" t="s">
        <v>400</v>
      </c>
      <c r="C302" s="39" t="s">
        <v>401</v>
      </c>
      <c r="D302" s="39">
        <v>1986</v>
      </c>
      <c r="E302" s="39">
        <v>1983</v>
      </c>
      <c r="F302" s="39" t="s">
        <v>363</v>
      </c>
      <c r="G302" s="39" t="s">
        <v>402</v>
      </c>
      <c r="H302" s="39">
        <v>33.32</v>
      </c>
      <c r="I302" s="39">
        <v>-84.43</v>
      </c>
      <c r="J302" s="39">
        <v>246.5</v>
      </c>
      <c r="P302" s="58" t="s">
        <v>181</v>
      </c>
      <c r="Q302" s="58"/>
      <c r="R302" s="58"/>
      <c r="S302" s="58" t="s">
        <v>1655</v>
      </c>
      <c r="T302" s="58" t="s">
        <v>1654</v>
      </c>
      <c r="X302" s="39" t="s">
        <v>403</v>
      </c>
      <c r="AB302" s="39" t="s">
        <v>1558</v>
      </c>
      <c r="AC302" s="39" t="s">
        <v>1817</v>
      </c>
      <c r="AD302" s="153" t="str">
        <f t="shared" si="49"/>
        <v>Common_Vetch</v>
      </c>
      <c r="AE302" s="39" t="s">
        <v>277</v>
      </c>
      <c r="AJ302" s="39" t="s">
        <v>275</v>
      </c>
      <c r="AK302" s="39" t="s">
        <v>275</v>
      </c>
      <c r="AL302" s="39" t="s">
        <v>230</v>
      </c>
      <c r="AM302" s="39" t="s">
        <v>407</v>
      </c>
      <c r="AN302" s="39" t="s">
        <v>407</v>
      </c>
      <c r="AP302" s="39" t="s">
        <v>154</v>
      </c>
      <c r="AQ302" s="39">
        <v>4</v>
      </c>
      <c r="AR302" s="39">
        <v>4</v>
      </c>
      <c r="AS302" s="39" t="s">
        <v>404</v>
      </c>
      <c r="AU302" s="39">
        <f>4.23*1000</f>
        <v>4230</v>
      </c>
      <c r="AV302" s="39">
        <f>4.23/3.36*10</f>
        <v>12.589285714285715</v>
      </c>
      <c r="AW302" s="63"/>
      <c r="AX302" s="39" t="s">
        <v>409</v>
      </c>
      <c r="BB302" s="39">
        <f t="shared" si="55"/>
        <v>2330</v>
      </c>
      <c r="BC302" s="39">
        <f>2.83*1000</f>
        <v>2830</v>
      </c>
      <c r="BD302" s="39" t="s">
        <v>405</v>
      </c>
      <c r="BH302" s="39">
        <v>0.37</v>
      </c>
      <c r="BI302" s="39">
        <v>0.39</v>
      </c>
      <c r="BK302" s="39">
        <f t="shared" si="56"/>
        <v>340</v>
      </c>
      <c r="BL302" s="39">
        <v>370</v>
      </c>
      <c r="BN302" s="39">
        <v>3.4</v>
      </c>
      <c r="BO302" s="39">
        <v>2.4</v>
      </c>
      <c r="BQ302" s="39">
        <v>109</v>
      </c>
      <c r="BR302" s="39">
        <v>97</v>
      </c>
      <c r="BT302" s="39">
        <v>6.2</v>
      </c>
      <c r="BU302" s="39">
        <v>6.2</v>
      </c>
      <c r="DS302" s="12"/>
      <c r="DU302" s="15"/>
      <c r="FA302" s="39" t="s">
        <v>419</v>
      </c>
      <c r="FC302" s="39">
        <v>19</v>
      </c>
    </row>
    <row r="303" spans="1:159" s="35" customFormat="1" x14ac:dyDescent="0.25">
      <c r="A303" s="35">
        <v>19</v>
      </c>
      <c r="B303" s="35" t="s">
        <v>400</v>
      </c>
      <c r="C303" s="35" t="s">
        <v>401</v>
      </c>
      <c r="D303" s="35">
        <v>1986</v>
      </c>
      <c r="E303" s="35">
        <v>1981</v>
      </c>
      <c r="F303" s="35" t="s">
        <v>363</v>
      </c>
      <c r="G303" s="35" t="s">
        <v>402</v>
      </c>
      <c r="H303" s="35">
        <v>33.32</v>
      </c>
      <c r="I303" s="35">
        <v>-84.43</v>
      </c>
      <c r="J303" s="35">
        <v>246.5</v>
      </c>
      <c r="P303" s="54" t="s">
        <v>179</v>
      </c>
      <c r="Q303" s="54"/>
      <c r="R303" s="54"/>
      <c r="S303" s="54" t="s">
        <v>1645</v>
      </c>
      <c r="T303" s="54" t="s">
        <v>1654</v>
      </c>
      <c r="X303" s="35" t="s">
        <v>403</v>
      </c>
      <c r="AB303" s="35" t="s">
        <v>1558</v>
      </c>
      <c r="AC303" s="35" t="s">
        <v>166</v>
      </c>
      <c r="AD303" s="153" t="str">
        <f t="shared" si="49"/>
        <v>Rye</v>
      </c>
      <c r="AE303" s="35" t="s">
        <v>277</v>
      </c>
      <c r="AJ303" s="35" t="s">
        <v>275</v>
      </c>
      <c r="AK303" s="35" t="s">
        <v>275</v>
      </c>
      <c r="AL303" s="35" t="s">
        <v>230</v>
      </c>
      <c r="AM303" s="35" t="s">
        <v>408</v>
      </c>
      <c r="AN303" s="35" t="s">
        <v>408</v>
      </c>
      <c r="AP303" s="35" t="s">
        <v>154</v>
      </c>
      <c r="AQ303" s="35">
        <v>4</v>
      </c>
      <c r="AR303" s="35">
        <v>4</v>
      </c>
      <c r="AS303" s="35" t="s">
        <v>404</v>
      </c>
      <c r="AU303" s="39">
        <f>3.33*1000</f>
        <v>3330</v>
      </c>
      <c r="AV303" s="39">
        <f>3.33/1.09*10</f>
        <v>30.550458715596328</v>
      </c>
      <c r="AW303" s="63"/>
      <c r="AX303" s="39" t="s">
        <v>409</v>
      </c>
      <c r="BB303" s="35">
        <f>4.79*1000</f>
        <v>4790</v>
      </c>
      <c r="BC303" s="35">
        <f>4.1*1000</f>
        <v>4100</v>
      </c>
      <c r="BD303" s="35" t="s">
        <v>406</v>
      </c>
      <c r="DS303" s="12"/>
      <c r="DU303" s="15"/>
      <c r="FA303" s="39" t="s">
        <v>419</v>
      </c>
      <c r="FC303" s="35">
        <v>19</v>
      </c>
    </row>
    <row r="304" spans="1:159" s="35" customFormat="1" x14ac:dyDescent="0.25">
      <c r="A304" s="35">
        <v>19</v>
      </c>
      <c r="B304" s="35" t="s">
        <v>400</v>
      </c>
      <c r="C304" s="35" t="s">
        <v>401</v>
      </c>
      <c r="D304" s="35">
        <v>1986</v>
      </c>
      <c r="E304" s="35">
        <v>1981</v>
      </c>
      <c r="F304" s="35" t="s">
        <v>363</v>
      </c>
      <c r="G304" s="35" t="s">
        <v>402</v>
      </c>
      <c r="H304" s="35">
        <v>33.32</v>
      </c>
      <c r="I304" s="35">
        <v>-84.43</v>
      </c>
      <c r="J304" s="35">
        <v>246.5</v>
      </c>
      <c r="P304" s="54" t="s">
        <v>179</v>
      </c>
      <c r="Q304" s="54"/>
      <c r="R304" s="54"/>
      <c r="S304" s="54" t="s">
        <v>1645</v>
      </c>
      <c r="T304" s="54" t="s">
        <v>1654</v>
      </c>
      <c r="X304" s="35" t="s">
        <v>403</v>
      </c>
      <c r="AB304" s="35" t="s">
        <v>1558</v>
      </c>
      <c r="AC304" s="35" t="s">
        <v>1805</v>
      </c>
      <c r="AD304" s="153" t="str">
        <f t="shared" si="49"/>
        <v>Crimson_clover</v>
      </c>
      <c r="AE304" s="35" t="s">
        <v>277</v>
      </c>
      <c r="AJ304" s="35" t="s">
        <v>275</v>
      </c>
      <c r="AK304" s="35" t="s">
        <v>275</v>
      </c>
      <c r="AL304" s="35" t="s">
        <v>230</v>
      </c>
      <c r="AM304" s="35" t="s">
        <v>408</v>
      </c>
      <c r="AN304" s="35" t="s">
        <v>408</v>
      </c>
      <c r="AP304" s="35" t="s">
        <v>154</v>
      </c>
      <c r="AQ304" s="35">
        <v>4</v>
      </c>
      <c r="AR304" s="35">
        <v>4</v>
      </c>
      <c r="AS304" s="35" t="s">
        <v>404</v>
      </c>
      <c r="AU304" s="39">
        <f>3.53*1000</f>
        <v>3530</v>
      </c>
      <c r="AV304" s="39">
        <f>3.53*10/2.92</f>
        <v>12.08904109589041</v>
      </c>
      <c r="AW304" s="63"/>
      <c r="AX304" s="39" t="s">
        <v>409</v>
      </c>
      <c r="BB304" s="35">
        <f t="shared" ref="BB304:BB307" si="57">4.79*1000</f>
        <v>4790</v>
      </c>
      <c r="BC304" s="35">
        <f>4.38*1000</f>
        <v>4380</v>
      </c>
      <c r="BD304" s="35" t="s">
        <v>406</v>
      </c>
      <c r="DS304" s="12"/>
      <c r="DU304" s="15"/>
      <c r="FA304" s="39" t="s">
        <v>419</v>
      </c>
      <c r="FC304" s="35">
        <v>19</v>
      </c>
    </row>
    <row r="305" spans="1:159" s="35" customFormat="1" x14ac:dyDescent="0.25">
      <c r="A305" s="35">
        <v>19</v>
      </c>
      <c r="B305" s="35" t="s">
        <v>400</v>
      </c>
      <c r="C305" s="35" t="s">
        <v>401</v>
      </c>
      <c r="D305" s="35">
        <v>1986</v>
      </c>
      <c r="E305" s="35">
        <v>1981</v>
      </c>
      <c r="F305" s="35" t="s">
        <v>363</v>
      </c>
      <c r="G305" s="35" t="s">
        <v>402</v>
      </c>
      <c r="H305" s="35">
        <v>33.32</v>
      </c>
      <c r="I305" s="35">
        <v>-84.43</v>
      </c>
      <c r="J305" s="35">
        <v>246.5</v>
      </c>
      <c r="P305" s="54" t="s">
        <v>179</v>
      </c>
      <c r="Q305" s="54"/>
      <c r="R305" s="54"/>
      <c r="S305" s="54" t="s">
        <v>1645</v>
      </c>
      <c r="T305" s="54" t="s">
        <v>1654</v>
      </c>
      <c r="X305" s="35" t="s">
        <v>403</v>
      </c>
      <c r="AB305" s="35" t="s">
        <v>1558</v>
      </c>
      <c r="AC305" s="35" t="s">
        <v>1816</v>
      </c>
      <c r="AD305" s="153" t="str">
        <f t="shared" si="49"/>
        <v>Subterranean_clover</v>
      </c>
      <c r="AE305" s="35" t="s">
        <v>277</v>
      </c>
      <c r="AJ305" s="35" t="s">
        <v>275</v>
      </c>
      <c r="AK305" s="35" t="s">
        <v>275</v>
      </c>
      <c r="AL305" s="35" t="s">
        <v>230</v>
      </c>
      <c r="AM305" s="35" t="s">
        <v>408</v>
      </c>
      <c r="AN305" s="35" t="s">
        <v>408</v>
      </c>
      <c r="AP305" s="35" t="s">
        <v>154</v>
      </c>
      <c r="AQ305" s="35">
        <v>4</v>
      </c>
      <c r="AR305" s="35">
        <v>4</v>
      </c>
      <c r="AS305" s="35" t="s">
        <v>404</v>
      </c>
      <c r="AU305" s="39">
        <f>2.96*1000</f>
        <v>2960</v>
      </c>
      <c r="AV305" s="39">
        <f>2.96/2.77*10</f>
        <v>10.685920577617329</v>
      </c>
      <c r="AW305" s="63"/>
      <c r="AX305" s="39" t="s">
        <v>409</v>
      </c>
      <c r="BB305" s="35">
        <f t="shared" si="57"/>
        <v>4790</v>
      </c>
      <c r="BC305" s="35">
        <f>4.12*1000</f>
        <v>4120</v>
      </c>
      <c r="BD305" s="35" t="s">
        <v>406</v>
      </c>
      <c r="DS305" s="12"/>
      <c r="DU305" s="15"/>
      <c r="FA305" s="39" t="s">
        <v>419</v>
      </c>
      <c r="FC305" s="35">
        <v>19</v>
      </c>
    </row>
    <row r="306" spans="1:159" s="35" customFormat="1" x14ac:dyDescent="0.25">
      <c r="A306" s="35">
        <v>19</v>
      </c>
      <c r="B306" s="35" t="s">
        <v>400</v>
      </c>
      <c r="C306" s="35" t="s">
        <v>401</v>
      </c>
      <c r="D306" s="35">
        <v>1986</v>
      </c>
      <c r="E306" s="35">
        <v>1981</v>
      </c>
      <c r="F306" s="35" t="s">
        <v>363</v>
      </c>
      <c r="G306" s="35" t="s">
        <v>402</v>
      </c>
      <c r="H306" s="35">
        <v>33.32</v>
      </c>
      <c r="I306" s="35">
        <v>-84.43</v>
      </c>
      <c r="J306" s="35">
        <v>246.5</v>
      </c>
      <c r="P306" s="54" t="s">
        <v>179</v>
      </c>
      <c r="Q306" s="54"/>
      <c r="R306" s="54"/>
      <c r="S306" s="54" t="s">
        <v>1645</v>
      </c>
      <c r="T306" s="54" t="s">
        <v>1654</v>
      </c>
      <c r="X306" s="35" t="s">
        <v>403</v>
      </c>
      <c r="AB306" s="35" t="s">
        <v>1558</v>
      </c>
      <c r="AC306" s="35" t="s">
        <v>301</v>
      </c>
      <c r="AD306" s="153" t="str">
        <f t="shared" si="49"/>
        <v>Vetch</v>
      </c>
      <c r="AE306" s="35" t="s">
        <v>277</v>
      </c>
      <c r="AJ306" s="35" t="s">
        <v>275</v>
      </c>
      <c r="AK306" s="35" t="s">
        <v>275</v>
      </c>
      <c r="AL306" s="35" t="s">
        <v>230</v>
      </c>
      <c r="AM306" s="35" t="s">
        <v>408</v>
      </c>
      <c r="AN306" s="35" t="s">
        <v>408</v>
      </c>
      <c r="AP306" s="35" t="s">
        <v>154</v>
      </c>
      <c r="AQ306" s="35">
        <v>4</v>
      </c>
      <c r="AR306" s="35">
        <v>4</v>
      </c>
      <c r="AS306" s="35" t="s">
        <v>404</v>
      </c>
      <c r="AU306" s="39">
        <f>4.06*1000</f>
        <v>4059.9999999999995</v>
      </c>
      <c r="AV306" s="39">
        <f>4.06/3.01*10</f>
        <v>13.488372093023255</v>
      </c>
      <c r="AW306" s="63"/>
      <c r="AX306" s="39" t="s">
        <v>409</v>
      </c>
      <c r="BB306" s="35">
        <f t="shared" si="57"/>
        <v>4790</v>
      </c>
      <c r="BC306" s="35">
        <f>4.53*1000</f>
        <v>4530</v>
      </c>
      <c r="BD306" s="35" t="s">
        <v>406</v>
      </c>
      <c r="DS306" s="12"/>
      <c r="DU306" s="15"/>
      <c r="FA306" s="39" t="s">
        <v>419</v>
      </c>
      <c r="FC306" s="35">
        <v>19</v>
      </c>
    </row>
    <row r="307" spans="1:159" s="35" customFormat="1" x14ac:dyDescent="0.25">
      <c r="A307" s="35">
        <v>19</v>
      </c>
      <c r="B307" s="35" t="s">
        <v>400</v>
      </c>
      <c r="C307" s="35" t="s">
        <v>401</v>
      </c>
      <c r="D307" s="35">
        <v>1986</v>
      </c>
      <c r="E307" s="35">
        <v>1981</v>
      </c>
      <c r="F307" s="35" t="s">
        <v>363</v>
      </c>
      <c r="G307" s="35" t="s">
        <v>402</v>
      </c>
      <c r="H307" s="35">
        <v>33.32</v>
      </c>
      <c r="I307" s="35">
        <v>-84.43</v>
      </c>
      <c r="J307" s="35">
        <v>246.5</v>
      </c>
      <c r="P307" s="54" t="s">
        <v>179</v>
      </c>
      <c r="Q307" s="54"/>
      <c r="R307" s="54"/>
      <c r="S307" s="54" t="s">
        <v>1645</v>
      </c>
      <c r="T307" s="54" t="s">
        <v>1654</v>
      </c>
      <c r="X307" s="35" t="s">
        <v>403</v>
      </c>
      <c r="AB307" s="35" t="s">
        <v>1558</v>
      </c>
      <c r="AC307" s="35" t="s">
        <v>1817</v>
      </c>
      <c r="AD307" s="153" t="str">
        <f t="shared" si="49"/>
        <v>Common_Vetch</v>
      </c>
      <c r="AE307" s="35" t="s">
        <v>277</v>
      </c>
      <c r="AJ307" s="35" t="s">
        <v>275</v>
      </c>
      <c r="AK307" s="35" t="s">
        <v>275</v>
      </c>
      <c r="AL307" s="35" t="s">
        <v>230</v>
      </c>
      <c r="AM307" s="35" t="s">
        <v>408</v>
      </c>
      <c r="AN307" s="35" t="s">
        <v>408</v>
      </c>
      <c r="AP307" s="35" t="s">
        <v>154</v>
      </c>
      <c r="AQ307" s="35">
        <v>4</v>
      </c>
      <c r="AR307" s="35">
        <v>4</v>
      </c>
      <c r="AS307" s="35" t="s">
        <v>404</v>
      </c>
      <c r="AU307" s="39">
        <f>3.96*1000</f>
        <v>3960</v>
      </c>
      <c r="AV307" s="39">
        <f>3.96/2.96*10</f>
        <v>13.378378378378379</v>
      </c>
      <c r="AW307" s="63"/>
      <c r="AX307" s="39" t="s">
        <v>409</v>
      </c>
      <c r="BB307" s="35">
        <f t="shared" si="57"/>
        <v>4790</v>
      </c>
      <c r="BC307" s="35">
        <f>4.1*1000</f>
        <v>4100</v>
      </c>
      <c r="BD307" s="35" t="s">
        <v>406</v>
      </c>
      <c r="DS307" s="12"/>
      <c r="DU307" s="15"/>
      <c r="FA307" s="39" t="s">
        <v>419</v>
      </c>
      <c r="FC307" s="35">
        <v>19</v>
      </c>
    </row>
    <row r="308" spans="1:159" s="26" customFormat="1" x14ac:dyDescent="0.25">
      <c r="A308" s="26">
        <v>19</v>
      </c>
      <c r="B308" s="26" t="s">
        <v>400</v>
      </c>
      <c r="C308" s="26" t="s">
        <v>401</v>
      </c>
      <c r="D308" s="26">
        <v>1986</v>
      </c>
      <c r="E308" s="26">
        <v>1982</v>
      </c>
      <c r="F308" s="26" t="s">
        <v>363</v>
      </c>
      <c r="G308" s="26" t="s">
        <v>402</v>
      </c>
      <c r="H308" s="26">
        <v>33.32</v>
      </c>
      <c r="I308" s="26">
        <v>-84.43</v>
      </c>
      <c r="J308" s="26">
        <v>246.5</v>
      </c>
      <c r="P308" s="52" t="s">
        <v>180</v>
      </c>
      <c r="Q308" s="52"/>
      <c r="R308" s="52"/>
      <c r="S308" s="52" t="s">
        <v>1646</v>
      </c>
      <c r="T308" s="52" t="s">
        <v>1654</v>
      </c>
      <c r="X308" s="26" t="s">
        <v>403</v>
      </c>
      <c r="AB308" s="26" t="s">
        <v>1558</v>
      </c>
      <c r="AC308" s="26" t="s">
        <v>166</v>
      </c>
      <c r="AD308" s="153" t="str">
        <f t="shared" si="49"/>
        <v>Rye</v>
      </c>
      <c r="AE308" s="26" t="s">
        <v>277</v>
      </c>
      <c r="AJ308" s="26" t="s">
        <v>275</v>
      </c>
      <c r="AK308" s="26" t="s">
        <v>275</v>
      </c>
      <c r="AL308" s="26" t="s">
        <v>230</v>
      </c>
      <c r="AM308" s="35" t="s">
        <v>408</v>
      </c>
      <c r="AN308" s="35" t="s">
        <v>408</v>
      </c>
      <c r="AO308" s="35"/>
      <c r="AP308" s="26" t="s">
        <v>154</v>
      </c>
      <c r="AQ308" s="26">
        <v>4</v>
      </c>
      <c r="AR308" s="26">
        <v>4</v>
      </c>
      <c r="AS308" s="26" t="s">
        <v>404</v>
      </c>
      <c r="AU308" s="26">
        <f>3.93*1000</f>
        <v>3930</v>
      </c>
      <c r="AV308" s="26">
        <f>3.93/0.89*10</f>
        <v>44.157303370786522</v>
      </c>
      <c r="AW308" s="63"/>
      <c r="AX308" s="39" t="s">
        <v>409</v>
      </c>
      <c r="BB308" s="26">
        <f>4.06*1000</f>
        <v>4059.9999999999995</v>
      </c>
      <c r="BC308" s="26">
        <f>4.55*1000</f>
        <v>4550</v>
      </c>
      <c r="BD308" s="35" t="s">
        <v>406</v>
      </c>
      <c r="DS308" s="12"/>
      <c r="DU308" s="15"/>
      <c r="FA308" s="39" t="s">
        <v>419</v>
      </c>
      <c r="FC308" s="26">
        <v>19</v>
      </c>
    </row>
    <row r="309" spans="1:159" s="26" customFormat="1" x14ac:dyDescent="0.25">
      <c r="A309" s="26">
        <v>19</v>
      </c>
      <c r="B309" s="26" t="s">
        <v>400</v>
      </c>
      <c r="C309" s="26" t="s">
        <v>401</v>
      </c>
      <c r="D309" s="26">
        <v>1986</v>
      </c>
      <c r="E309" s="26">
        <v>1982</v>
      </c>
      <c r="F309" s="26" t="s">
        <v>363</v>
      </c>
      <c r="G309" s="26" t="s">
        <v>402</v>
      </c>
      <c r="H309" s="26">
        <v>33.32</v>
      </c>
      <c r="I309" s="26">
        <v>-84.43</v>
      </c>
      <c r="J309" s="26">
        <v>246.5</v>
      </c>
      <c r="P309" s="52" t="s">
        <v>180</v>
      </c>
      <c r="Q309" s="52"/>
      <c r="R309" s="52"/>
      <c r="S309" s="52" t="s">
        <v>1646</v>
      </c>
      <c r="T309" s="52" t="s">
        <v>1654</v>
      </c>
      <c r="X309" s="26" t="s">
        <v>403</v>
      </c>
      <c r="AB309" s="26" t="s">
        <v>1558</v>
      </c>
      <c r="AC309" s="26" t="s">
        <v>1805</v>
      </c>
      <c r="AD309" s="153" t="str">
        <f t="shared" si="49"/>
        <v>Crimson_clover</v>
      </c>
      <c r="AE309" s="26" t="s">
        <v>277</v>
      </c>
      <c r="AJ309" s="26" t="s">
        <v>275</v>
      </c>
      <c r="AK309" s="26" t="s">
        <v>275</v>
      </c>
      <c r="AL309" s="26" t="s">
        <v>230</v>
      </c>
      <c r="AM309" s="35" t="s">
        <v>408</v>
      </c>
      <c r="AN309" s="35" t="s">
        <v>408</v>
      </c>
      <c r="AO309" s="35"/>
      <c r="AP309" s="26" t="s">
        <v>154</v>
      </c>
      <c r="AQ309" s="26">
        <v>4</v>
      </c>
      <c r="AR309" s="26">
        <v>4</v>
      </c>
      <c r="AS309" s="26" t="s">
        <v>404</v>
      </c>
      <c r="AU309" s="26">
        <f>9.21*1000</f>
        <v>9210</v>
      </c>
      <c r="AV309" s="26">
        <f>9.21/2.18*10</f>
        <v>42.247706422018354</v>
      </c>
      <c r="AW309" s="63"/>
      <c r="AX309" s="39" t="s">
        <v>409</v>
      </c>
      <c r="BB309" s="26">
        <f t="shared" ref="BB309:BB312" si="58">4.06*1000</f>
        <v>4059.9999999999995</v>
      </c>
      <c r="BC309" s="26">
        <f>4.73*1000</f>
        <v>4730</v>
      </c>
      <c r="BD309" s="35" t="s">
        <v>406</v>
      </c>
      <c r="DS309" s="12"/>
      <c r="DU309" s="15"/>
      <c r="FA309" s="39" t="s">
        <v>419</v>
      </c>
      <c r="FC309" s="26">
        <v>19</v>
      </c>
    </row>
    <row r="310" spans="1:159" s="26" customFormat="1" x14ac:dyDescent="0.25">
      <c r="A310" s="26">
        <v>19</v>
      </c>
      <c r="B310" s="26" t="s">
        <v>400</v>
      </c>
      <c r="C310" s="26" t="s">
        <v>401</v>
      </c>
      <c r="D310" s="26">
        <v>1986</v>
      </c>
      <c r="E310" s="26">
        <v>1982</v>
      </c>
      <c r="F310" s="26" t="s">
        <v>363</v>
      </c>
      <c r="G310" s="26" t="s">
        <v>402</v>
      </c>
      <c r="H310" s="26">
        <v>33.32</v>
      </c>
      <c r="I310" s="26">
        <v>-84.43</v>
      </c>
      <c r="J310" s="26">
        <v>246.5</v>
      </c>
      <c r="P310" s="52" t="s">
        <v>180</v>
      </c>
      <c r="Q310" s="52"/>
      <c r="R310" s="52"/>
      <c r="S310" s="52" t="s">
        <v>1646</v>
      </c>
      <c r="T310" s="52" t="s">
        <v>1654</v>
      </c>
      <c r="X310" s="26" t="s">
        <v>403</v>
      </c>
      <c r="AB310" s="26" t="s">
        <v>1558</v>
      </c>
      <c r="AC310" s="26" t="s">
        <v>1816</v>
      </c>
      <c r="AD310" s="153" t="str">
        <f t="shared" si="49"/>
        <v>Subterranean_clover</v>
      </c>
      <c r="AE310" s="26" t="s">
        <v>277</v>
      </c>
      <c r="AJ310" s="26" t="s">
        <v>275</v>
      </c>
      <c r="AK310" s="26" t="s">
        <v>275</v>
      </c>
      <c r="AL310" s="26" t="s">
        <v>230</v>
      </c>
      <c r="AM310" s="35" t="s">
        <v>408</v>
      </c>
      <c r="AN310" s="35" t="s">
        <v>408</v>
      </c>
      <c r="AO310" s="35"/>
      <c r="AP310" s="26" t="s">
        <v>154</v>
      </c>
      <c r="AQ310" s="26">
        <v>4</v>
      </c>
      <c r="AR310" s="26">
        <v>4</v>
      </c>
      <c r="AS310" s="26" t="s">
        <v>404</v>
      </c>
      <c r="AU310" s="26">
        <f>4.06*1000</f>
        <v>4059.9999999999995</v>
      </c>
      <c r="AV310" s="26">
        <f>4.06/2.77*10</f>
        <v>14.657039711191334</v>
      </c>
      <c r="AW310" s="63"/>
      <c r="AX310" s="39" t="s">
        <v>409</v>
      </c>
      <c r="BB310" s="26">
        <f t="shared" si="58"/>
        <v>4059.9999999999995</v>
      </c>
      <c r="BC310" s="26">
        <f>4.96*1000</f>
        <v>4960</v>
      </c>
      <c r="BD310" s="35" t="s">
        <v>406</v>
      </c>
      <c r="DS310" s="12"/>
      <c r="DU310" s="15"/>
      <c r="FA310" s="39" t="s">
        <v>419</v>
      </c>
      <c r="FC310" s="26">
        <v>19</v>
      </c>
    </row>
    <row r="311" spans="1:159" s="26" customFormat="1" x14ac:dyDescent="0.25">
      <c r="A311" s="26">
        <v>19</v>
      </c>
      <c r="B311" s="26" t="s">
        <v>400</v>
      </c>
      <c r="C311" s="26" t="s">
        <v>401</v>
      </c>
      <c r="D311" s="26">
        <v>1986</v>
      </c>
      <c r="E311" s="26">
        <v>1982</v>
      </c>
      <c r="F311" s="26" t="s">
        <v>363</v>
      </c>
      <c r="G311" s="26" t="s">
        <v>402</v>
      </c>
      <c r="H311" s="26">
        <v>33.32</v>
      </c>
      <c r="I311" s="26">
        <v>-84.43</v>
      </c>
      <c r="J311" s="26">
        <v>246.5</v>
      </c>
      <c r="P311" s="52" t="s">
        <v>180</v>
      </c>
      <c r="Q311" s="52"/>
      <c r="R311" s="52"/>
      <c r="S311" s="52" t="s">
        <v>1646</v>
      </c>
      <c r="T311" s="52" t="s">
        <v>1654</v>
      </c>
      <c r="X311" s="26" t="s">
        <v>403</v>
      </c>
      <c r="AB311" s="26" t="s">
        <v>1558</v>
      </c>
      <c r="AC311" s="26" t="s">
        <v>301</v>
      </c>
      <c r="AD311" s="153" t="str">
        <f t="shared" si="49"/>
        <v>Vetch</v>
      </c>
      <c r="AE311" s="26" t="s">
        <v>277</v>
      </c>
      <c r="AJ311" s="26" t="s">
        <v>275</v>
      </c>
      <c r="AK311" s="26" t="s">
        <v>275</v>
      </c>
      <c r="AL311" s="26" t="s">
        <v>230</v>
      </c>
      <c r="AM311" s="35" t="s">
        <v>408</v>
      </c>
      <c r="AN311" s="35" t="s">
        <v>408</v>
      </c>
      <c r="AO311" s="35"/>
      <c r="AP311" s="26" t="s">
        <v>154</v>
      </c>
      <c r="AQ311" s="26">
        <v>4</v>
      </c>
      <c r="AR311" s="26">
        <v>4</v>
      </c>
      <c r="AS311" s="26" t="s">
        <v>404</v>
      </c>
      <c r="AU311" s="26">
        <f>4.54*1000</f>
        <v>4540</v>
      </c>
      <c r="AV311" s="26">
        <f>4.54/3.38*10</f>
        <v>13.431952662721894</v>
      </c>
      <c r="AW311" s="63"/>
      <c r="AX311" s="39" t="s">
        <v>409</v>
      </c>
      <c r="BB311" s="26">
        <f t="shared" si="58"/>
        <v>4059.9999999999995</v>
      </c>
      <c r="BC311" s="26">
        <f>4.86*1000</f>
        <v>4860</v>
      </c>
      <c r="BD311" s="35" t="s">
        <v>406</v>
      </c>
      <c r="DS311" s="12"/>
      <c r="DU311" s="15"/>
      <c r="FA311" s="39" t="s">
        <v>419</v>
      </c>
      <c r="FC311" s="26">
        <v>19</v>
      </c>
    </row>
    <row r="312" spans="1:159" s="26" customFormat="1" x14ac:dyDescent="0.25">
      <c r="A312" s="26">
        <v>19</v>
      </c>
      <c r="B312" s="26" t="s">
        <v>400</v>
      </c>
      <c r="C312" s="26" t="s">
        <v>401</v>
      </c>
      <c r="D312" s="26">
        <v>1986</v>
      </c>
      <c r="E312" s="26">
        <v>1982</v>
      </c>
      <c r="F312" s="26" t="s">
        <v>363</v>
      </c>
      <c r="G312" s="26" t="s">
        <v>402</v>
      </c>
      <c r="H312" s="26">
        <v>33.32</v>
      </c>
      <c r="I312" s="26">
        <v>-84.43</v>
      </c>
      <c r="J312" s="26">
        <v>246.5</v>
      </c>
      <c r="P312" s="52" t="s">
        <v>180</v>
      </c>
      <c r="Q312" s="52"/>
      <c r="R312" s="52"/>
      <c r="S312" s="52" t="s">
        <v>1646</v>
      </c>
      <c r="T312" s="52" t="s">
        <v>1654</v>
      </c>
      <c r="X312" s="26" t="s">
        <v>403</v>
      </c>
      <c r="AB312" s="26" t="s">
        <v>1558</v>
      </c>
      <c r="AC312" s="26" t="s">
        <v>1817</v>
      </c>
      <c r="AD312" s="153" t="str">
        <f t="shared" si="49"/>
        <v>Common_Vetch</v>
      </c>
      <c r="AE312" s="26" t="s">
        <v>277</v>
      </c>
      <c r="AJ312" s="26" t="s">
        <v>275</v>
      </c>
      <c r="AK312" s="26" t="s">
        <v>275</v>
      </c>
      <c r="AL312" s="26" t="s">
        <v>230</v>
      </c>
      <c r="AM312" s="35" t="s">
        <v>408</v>
      </c>
      <c r="AN312" s="35" t="s">
        <v>408</v>
      </c>
      <c r="AO312" s="35"/>
      <c r="AP312" s="26" t="s">
        <v>154</v>
      </c>
      <c r="AQ312" s="26">
        <v>4</v>
      </c>
      <c r="AR312" s="26">
        <v>4</v>
      </c>
      <c r="AS312" s="26" t="s">
        <v>404</v>
      </c>
      <c r="AU312" s="26">
        <f>4.7*1000</f>
        <v>4700</v>
      </c>
      <c r="AV312" s="26">
        <f>4.7/3*10</f>
        <v>15.666666666666666</v>
      </c>
      <c r="AW312" s="63"/>
      <c r="AX312" s="39" t="s">
        <v>409</v>
      </c>
      <c r="BB312" s="26">
        <f t="shared" si="58"/>
        <v>4059.9999999999995</v>
      </c>
      <c r="BC312" s="26">
        <f>4.97*1000</f>
        <v>4970</v>
      </c>
      <c r="BD312" s="35" t="s">
        <v>406</v>
      </c>
      <c r="DS312" s="12"/>
      <c r="DU312" s="15"/>
      <c r="FA312" s="39" t="s">
        <v>419</v>
      </c>
      <c r="FC312" s="26">
        <v>19</v>
      </c>
    </row>
    <row r="313" spans="1:159" s="39" customFormat="1" x14ac:dyDescent="0.25">
      <c r="A313" s="39">
        <v>19</v>
      </c>
      <c r="B313" s="39" t="s">
        <v>400</v>
      </c>
      <c r="C313" s="39" t="s">
        <v>401</v>
      </c>
      <c r="D313" s="39">
        <v>1986</v>
      </c>
      <c r="E313" s="39">
        <v>1983</v>
      </c>
      <c r="F313" s="39" t="s">
        <v>363</v>
      </c>
      <c r="G313" s="39" t="s">
        <v>402</v>
      </c>
      <c r="H313" s="39">
        <v>33.32</v>
      </c>
      <c r="I313" s="39">
        <v>-84.43</v>
      </c>
      <c r="J313" s="39">
        <v>246.5</v>
      </c>
      <c r="P313" s="58" t="s">
        <v>181</v>
      </c>
      <c r="Q313" s="58"/>
      <c r="R313" s="58"/>
      <c r="S313" s="58" t="s">
        <v>1655</v>
      </c>
      <c r="T313" s="58" t="s">
        <v>1654</v>
      </c>
      <c r="X313" s="39" t="s">
        <v>403</v>
      </c>
      <c r="AB313" s="39" t="s">
        <v>1558</v>
      </c>
      <c r="AC313" s="39" t="s">
        <v>166</v>
      </c>
      <c r="AD313" s="153" t="str">
        <f t="shared" si="49"/>
        <v>Rye</v>
      </c>
      <c r="AE313" s="39" t="s">
        <v>277</v>
      </c>
      <c r="AJ313" s="39" t="s">
        <v>275</v>
      </c>
      <c r="AK313" s="39" t="s">
        <v>275</v>
      </c>
      <c r="AL313" s="39" t="s">
        <v>230</v>
      </c>
      <c r="AM313" s="35" t="s">
        <v>408</v>
      </c>
      <c r="AN313" s="35" t="s">
        <v>408</v>
      </c>
      <c r="AO313" s="35"/>
      <c r="AP313" s="39" t="s">
        <v>154</v>
      </c>
      <c r="AQ313" s="39">
        <v>4</v>
      </c>
      <c r="AR313" s="39">
        <v>4</v>
      </c>
      <c r="AS313" s="39" t="s">
        <v>404</v>
      </c>
      <c r="AU313" s="39">
        <f>4.83*1000</f>
        <v>4830</v>
      </c>
      <c r="AV313" s="39">
        <f>4.83/0.97*10</f>
        <v>49.793814432989691</v>
      </c>
      <c r="AW313" s="63"/>
      <c r="AX313" s="39" t="s">
        <v>409</v>
      </c>
      <c r="BB313" s="39">
        <f>2.87*1000</f>
        <v>2870</v>
      </c>
      <c r="BC313" s="39">
        <f>2.96*1000</f>
        <v>2960</v>
      </c>
      <c r="BD313" s="35" t="s">
        <v>406</v>
      </c>
      <c r="DS313" s="12"/>
      <c r="DU313" s="15"/>
      <c r="FA313" s="39" t="s">
        <v>419</v>
      </c>
      <c r="FC313" s="39">
        <v>19</v>
      </c>
    </row>
    <row r="314" spans="1:159" s="39" customFormat="1" x14ac:dyDescent="0.25">
      <c r="A314" s="39">
        <v>19</v>
      </c>
      <c r="B314" s="39" t="s">
        <v>400</v>
      </c>
      <c r="C314" s="39" t="s">
        <v>401</v>
      </c>
      <c r="D314" s="39">
        <v>1986</v>
      </c>
      <c r="E314" s="39">
        <v>1983</v>
      </c>
      <c r="F314" s="39" t="s">
        <v>363</v>
      </c>
      <c r="G314" s="39" t="s">
        <v>402</v>
      </c>
      <c r="H314" s="39">
        <v>33.32</v>
      </c>
      <c r="I314" s="39">
        <v>-84.43</v>
      </c>
      <c r="J314" s="39">
        <v>246.5</v>
      </c>
      <c r="P314" s="58" t="s">
        <v>181</v>
      </c>
      <c r="Q314" s="58"/>
      <c r="R314" s="58"/>
      <c r="S314" s="58" t="s">
        <v>1655</v>
      </c>
      <c r="T314" s="58" t="s">
        <v>1654</v>
      </c>
      <c r="X314" s="39" t="s">
        <v>403</v>
      </c>
      <c r="AB314" s="39" t="s">
        <v>1558</v>
      </c>
      <c r="AC314" s="39" t="s">
        <v>1805</v>
      </c>
      <c r="AD314" s="153" t="str">
        <f t="shared" si="49"/>
        <v>Crimson_clover</v>
      </c>
      <c r="AE314" s="39" t="s">
        <v>277</v>
      </c>
      <c r="AJ314" s="39" t="s">
        <v>275</v>
      </c>
      <c r="AK314" s="39" t="s">
        <v>275</v>
      </c>
      <c r="AL314" s="39" t="s">
        <v>230</v>
      </c>
      <c r="AM314" s="35" t="s">
        <v>408</v>
      </c>
      <c r="AN314" s="35" t="s">
        <v>408</v>
      </c>
      <c r="AO314" s="35"/>
      <c r="AP314" s="39" t="s">
        <v>154</v>
      </c>
      <c r="AQ314" s="39">
        <v>4</v>
      </c>
      <c r="AR314" s="39">
        <v>4</v>
      </c>
      <c r="AS314" s="39" t="s">
        <v>404</v>
      </c>
      <c r="AU314" s="39">
        <f>8.77*1000</f>
        <v>8770</v>
      </c>
      <c r="AV314" s="39">
        <f>8.77/2.47*10</f>
        <v>35.506072874493924</v>
      </c>
      <c r="AW314" s="63"/>
      <c r="AX314" s="39" t="s">
        <v>409</v>
      </c>
      <c r="BB314" s="39">
        <f t="shared" ref="BB314:BB317" si="59">2.87*1000</f>
        <v>2870</v>
      </c>
      <c r="BC314" s="39">
        <f>3.56*1000</f>
        <v>3560</v>
      </c>
      <c r="BD314" s="35" t="s">
        <v>406</v>
      </c>
      <c r="DS314" s="12"/>
      <c r="DU314" s="15"/>
      <c r="FA314" s="39" t="s">
        <v>419</v>
      </c>
      <c r="FC314" s="39">
        <v>19</v>
      </c>
    </row>
    <row r="315" spans="1:159" s="39" customFormat="1" x14ac:dyDescent="0.25">
      <c r="A315" s="39">
        <v>19</v>
      </c>
      <c r="B315" s="39" t="s">
        <v>400</v>
      </c>
      <c r="C315" s="39" t="s">
        <v>401</v>
      </c>
      <c r="D315" s="39">
        <v>1986</v>
      </c>
      <c r="E315" s="39">
        <v>1983</v>
      </c>
      <c r="F315" s="39" t="s">
        <v>363</v>
      </c>
      <c r="G315" s="39" t="s">
        <v>402</v>
      </c>
      <c r="H315" s="39">
        <v>33.32</v>
      </c>
      <c r="I315" s="39">
        <v>-84.43</v>
      </c>
      <c r="J315" s="39">
        <v>246.5</v>
      </c>
      <c r="P315" s="58" t="s">
        <v>181</v>
      </c>
      <c r="Q315" s="58"/>
      <c r="R315" s="58"/>
      <c r="S315" s="58" t="s">
        <v>1655</v>
      </c>
      <c r="T315" s="58" t="s">
        <v>1654</v>
      </c>
      <c r="X315" s="39" t="s">
        <v>403</v>
      </c>
      <c r="AB315" s="39" t="s">
        <v>1558</v>
      </c>
      <c r="AC315" s="39" t="s">
        <v>1816</v>
      </c>
      <c r="AD315" s="153" t="str">
        <f t="shared" si="49"/>
        <v>Subterranean_clover</v>
      </c>
      <c r="AE315" s="39" t="s">
        <v>277</v>
      </c>
      <c r="AJ315" s="39" t="s">
        <v>275</v>
      </c>
      <c r="AK315" s="39" t="s">
        <v>275</v>
      </c>
      <c r="AL315" s="39" t="s">
        <v>230</v>
      </c>
      <c r="AM315" s="35" t="s">
        <v>408</v>
      </c>
      <c r="AN315" s="35" t="s">
        <v>408</v>
      </c>
      <c r="AO315" s="35"/>
      <c r="AP315" s="39" t="s">
        <v>154</v>
      </c>
      <c r="AQ315" s="39">
        <v>4</v>
      </c>
      <c r="AR315" s="39">
        <v>4</v>
      </c>
      <c r="AS315" s="39" t="s">
        <v>404</v>
      </c>
      <c r="AU315" s="39">
        <f>4.97*1000</f>
        <v>4970</v>
      </c>
      <c r="AV315" s="39">
        <f>4.97/2.99*10</f>
        <v>16.622073578595316</v>
      </c>
      <c r="AW315" s="63"/>
      <c r="AX315" s="39" t="s">
        <v>409</v>
      </c>
      <c r="BB315" s="39">
        <f t="shared" si="59"/>
        <v>2870</v>
      </c>
      <c r="BC315" s="39">
        <f>2.5*1000</f>
        <v>2500</v>
      </c>
      <c r="BD315" s="35" t="s">
        <v>406</v>
      </c>
      <c r="DS315" s="12"/>
      <c r="DU315" s="15"/>
      <c r="FA315" s="39" t="s">
        <v>419</v>
      </c>
      <c r="FC315" s="39">
        <v>19</v>
      </c>
    </row>
    <row r="316" spans="1:159" s="39" customFormat="1" x14ac:dyDescent="0.25">
      <c r="A316" s="39">
        <v>19</v>
      </c>
      <c r="B316" s="39" t="s">
        <v>400</v>
      </c>
      <c r="C316" s="39" t="s">
        <v>401</v>
      </c>
      <c r="D316" s="39">
        <v>1986</v>
      </c>
      <c r="E316" s="39">
        <v>1983</v>
      </c>
      <c r="F316" s="39" t="s">
        <v>363</v>
      </c>
      <c r="G316" s="39" t="s">
        <v>402</v>
      </c>
      <c r="H316" s="39">
        <v>33.32</v>
      </c>
      <c r="I316" s="39">
        <v>-84.43</v>
      </c>
      <c r="J316" s="39">
        <v>246.5</v>
      </c>
      <c r="P316" s="58" t="s">
        <v>181</v>
      </c>
      <c r="Q316" s="58"/>
      <c r="R316" s="58"/>
      <c r="S316" s="58" t="s">
        <v>1655</v>
      </c>
      <c r="T316" s="58" t="s">
        <v>1654</v>
      </c>
      <c r="X316" s="39" t="s">
        <v>403</v>
      </c>
      <c r="AB316" s="39" t="s">
        <v>1558</v>
      </c>
      <c r="AC316" s="39" t="s">
        <v>301</v>
      </c>
      <c r="AD316" s="153" t="str">
        <f t="shared" si="49"/>
        <v>Vetch</v>
      </c>
      <c r="AE316" s="39" t="s">
        <v>277</v>
      </c>
      <c r="AJ316" s="39" t="s">
        <v>275</v>
      </c>
      <c r="AK316" s="39" t="s">
        <v>275</v>
      </c>
      <c r="AL316" s="39" t="s">
        <v>230</v>
      </c>
      <c r="AM316" s="35" t="s">
        <v>408</v>
      </c>
      <c r="AN316" s="35" t="s">
        <v>408</v>
      </c>
      <c r="AO316" s="35"/>
      <c r="AP316" s="39" t="s">
        <v>154</v>
      </c>
      <c r="AQ316" s="39">
        <v>4</v>
      </c>
      <c r="AR316" s="39">
        <v>4</v>
      </c>
      <c r="AS316" s="39" t="s">
        <v>404</v>
      </c>
      <c r="AU316" s="39">
        <f>4.15*1000</f>
        <v>4150</v>
      </c>
      <c r="AV316" s="39">
        <f>4.15/4.5*10</f>
        <v>9.2222222222222232</v>
      </c>
      <c r="AW316" s="63"/>
      <c r="AX316" s="39" t="s">
        <v>409</v>
      </c>
      <c r="BB316" s="39">
        <f t="shared" si="59"/>
        <v>2870</v>
      </c>
      <c r="BC316" s="39">
        <f>1.98*1000</f>
        <v>1980</v>
      </c>
      <c r="BD316" s="35" t="s">
        <v>406</v>
      </c>
      <c r="DS316" s="12"/>
      <c r="DU316" s="15"/>
      <c r="FA316" s="39" t="s">
        <v>419</v>
      </c>
      <c r="FC316" s="39">
        <v>19</v>
      </c>
    </row>
    <row r="317" spans="1:159" s="39" customFormat="1" x14ac:dyDescent="0.25">
      <c r="A317" s="39">
        <v>19</v>
      </c>
      <c r="B317" s="39" t="s">
        <v>400</v>
      </c>
      <c r="C317" s="39" t="s">
        <v>401</v>
      </c>
      <c r="D317" s="39">
        <v>1986</v>
      </c>
      <c r="E317" s="39">
        <v>1983</v>
      </c>
      <c r="F317" s="39" t="s">
        <v>363</v>
      </c>
      <c r="G317" s="39" t="s">
        <v>402</v>
      </c>
      <c r="H317" s="39">
        <v>33.32</v>
      </c>
      <c r="I317" s="39">
        <v>-84.43</v>
      </c>
      <c r="J317" s="39">
        <v>246.5</v>
      </c>
      <c r="P317" s="58" t="s">
        <v>181</v>
      </c>
      <c r="Q317" s="58"/>
      <c r="R317" s="58"/>
      <c r="S317" s="58" t="s">
        <v>1655</v>
      </c>
      <c r="T317" s="58" t="s">
        <v>1654</v>
      </c>
      <c r="X317" s="39" t="s">
        <v>403</v>
      </c>
      <c r="AB317" s="39" t="s">
        <v>1558</v>
      </c>
      <c r="AC317" s="39" t="s">
        <v>1817</v>
      </c>
      <c r="AD317" s="153" t="str">
        <f t="shared" si="49"/>
        <v>Common_Vetch</v>
      </c>
      <c r="AE317" s="39" t="s">
        <v>277</v>
      </c>
      <c r="AJ317" s="39" t="s">
        <v>275</v>
      </c>
      <c r="AK317" s="39" t="s">
        <v>275</v>
      </c>
      <c r="AL317" s="39" t="s">
        <v>230</v>
      </c>
      <c r="AM317" s="35" t="s">
        <v>408</v>
      </c>
      <c r="AN317" s="35" t="s">
        <v>408</v>
      </c>
      <c r="AO317" s="35"/>
      <c r="AP317" s="39" t="s">
        <v>154</v>
      </c>
      <c r="AQ317" s="39">
        <v>4</v>
      </c>
      <c r="AR317" s="39">
        <v>4</v>
      </c>
      <c r="AS317" s="39" t="s">
        <v>404</v>
      </c>
      <c r="AU317" s="39">
        <f>4.23*1000</f>
        <v>4230</v>
      </c>
      <c r="AV317" s="39">
        <f>4.23/3.36*10</f>
        <v>12.589285714285715</v>
      </c>
      <c r="AW317" s="63"/>
      <c r="AX317" s="39" t="s">
        <v>409</v>
      </c>
      <c r="BB317" s="39">
        <f t="shared" si="59"/>
        <v>2870</v>
      </c>
      <c r="BC317" s="39">
        <f>2.77*1000</f>
        <v>2770</v>
      </c>
      <c r="BD317" s="35" t="s">
        <v>406</v>
      </c>
      <c r="DS317" s="12"/>
      <c r="DU317" s="15"/>
      <c r="FA317" s="39" t="s">
        <v>419</v>
      </c>
      <c r="FC317" s="39">
        <v>19</v>
      </c>
    </row>
    <row r="318" spans="1:159" s="38" customFormat="1" x14ac:dyDescent="0.25">
      <c r="A318" s="38">
        <v>20</v>
      </c>
      <c r="B318" s="38" t="s">
        <v>421</v>
      </c>
      <c r="C318" s="38" t="s">
        <v>422</v>
      </c>
      <c r="D318" s="38">
        <v>2014</v>
      </c>
      <c r="E318" s="38">
        <v>2010</v>
      </c>
      <c r="F318" s="38" t="s">
        <v>423</v>
      </c>
      <c r="G318" s="38" t="s">
        <v>420</v>
      </c>
      <c r="H318" s="38">
        <f t="shared" ref="H318:H331" si="60">42+40/60</f>
        <v>42.666666666666664</v>
      </c>
      <c r="I318" s="38">
        <f t="shared" ref="I318:I331" si="61">-84-28/60</f>
        <v>-84.466666666666669</v>
      </c>
      <c r="J318" s="38">
        <v>268.5</v>
      </c>
      <c r="P318" s="57" t="s">
        <v>179</v>
      </c>
      <c r="Q318" s="57" t="s">
        <v>1390</v>
      </c>
      <c r="R318" s="57"/>
      <c r="S318" s="57" t="s">
        <v>1640</v>
      </c>
      <c r="T318" s="57" t="s">
        <v>1640</v>
      </c>
      <c r="X318" s="38" t="s">
        <v>228</v>
      </c>
      <c r="Y318" s="38">
        <v>6.6</v>
      </c>
      <c r="AB318" s="38" t="s">
        <v>1559</v>
      </c>
      <c r="AC318" s="38" t="s">
        <v>301</v>
      </c>
      <c r="AD318" s="153" t="str">
        <f t="shared" si="49"/>
        <v>Vetch</v>
      </c>
      <c r="AE318" s="38" t="s">
        <v>277</v>
      </c>
      <c r="AJ318" s="38" t="s">
        <v>289</v>
      </c>
      <c r="AK318" s="38" t="s">
        <v>289</v>
      </c>
      <c r="AL318" s="38" t="s">
        <v>230</v>
      </c>
      <c r="AM318" s="38">
        <v>0</v>
      </c>
      <c r="AN318" s="38">
        <v>0</v>
      </c>
      <c r="AO318" s="38" t="s">
        <v>230</v>
      </c>
      <c r="AP318" s="38" t="s">
        <v>208</v>
      </c>
      <c r="AQ318" s="38">
        <v>4</v>
      </c>
      <c r="AR318" s="38">
        <v>4</v>
      </c>
      <c r="AS318" s="38" t="s">
        <v>177</v>
      </c>
      <c r="AT318" s="38">
        <v>5422</v>
      </c>
      <c r="AW318" s="64"/>
      <c r="DM318" s="38">
        <v>100</v>
      </c>
      <c r="DN318" s="38">
        <v>11.715999999999999</v>
      </c>
      <c r="DO318" s="38" t="s">
        <v>424</v>
      </c>
      <c r="DS318" s="12"/>
      <c r="DU318" s="15"/>
      <c r="FC318" s="38">
        <v>20</v>
      </c>
    </row>
    <row r="319" spans="1:159" s="38" customFormat="1" x14ac:dyDescent="0.25">
      <c r="A319" s="38">
        <v>20</v>
      </c>
      <c r="B319" s="38" t="s">
        <v>421</v>
      </c>
      <c r="C319" s="38" t="s">
        <v>422</v>
      </c>
      <c r="D319" s="38">
        <v>2014</v>
      </c>
      <c r="E319" s="38">
        <v>2010</v>
      </c>
      <c r="F319" s="38" t="s">
        <v>423</v>
      </c>
      <c r="G319" s="38" t="s">
        <v>420</v>
      </c>
      <c r="H319" s="38">
        <f t="shared" si="60"/>
        <v>42.666666666666664</v>
      </c>
      <c r="I319" s="38">
        <f t="shared" si="61"/>
        <v>-84.466666666666669</v>
      </c>
      <c r="J319" s="38">
        <v>268.5</v>
      </c>
      <c r="P319" s="57" t="s">
        <v>179</v>
      </c>
      <c r="Q319" s="57" t="s">
        <v>1390</v>
      </c>
      <c r="R319" s="57"/>
      <c r="S319" s="57" t="s">
        <v>1640</v>
      </c>
      <c r="T319" s="57" t="s">
        <v>1640</v>
      </c>
      <c r="X319" s="38" t="s">
        <v>228</v>
      </c>
      <c r="Y319" s="38">
        <v>6.6</v>
      </c>
      <c r="AB319" s="38" t="s">
        <v>1559</v>
      </c>
      <c r="AC319" s="38" t="s">
        <v>1835</v>
      </c>
      <c r="AD319" s="153" t="str">
        <f t="shared" si="49"/>
        <v>HV83/Rye17</v>
      </c>
      <c r="AE319" s="38" t="s">
        <v>277</v>
      </c>
      <c r="AJ319" s="38" t="s">
        <v>289</v>
      </c>
      <c r="AK319" s="38" t="s">
        <v>289</v>
      </c>
      <c r="AL319" s="38" t="s">
        <v>230</v>
      </c>
      <c r="AM319" s="38">
        <v>0</v>
      </c>
      <c r="AN319" s="38">
        <v>0</v>
      </c>
      <c r="AO319" s="38" t="s">
        <v>230</v>
      </c>
      <c r="AP319" s="38" t="s">
        <v>208</v>
      </c>
      <c r="AQ319" s="38">
        <v>4</v>
      </c>
      <c r="AR319" s="38">
        <v>4</v>
      </c>
      <c r="AS319" s="38" t="s">
        <v>177</v>
      </c>
      <c r="AT319" s="38">
        <v>6205</v>
      </c>
      <c r="AW319" s="64"/>
      <c r="DM319" s="38">
        <v>100</v>
      </c>
      <c r="DN319" s="38">
        <v>14.13</v>
      </c>
      <c r="DO319" s="38" t="s">
        <v>424</v>
      </c>
      <c r="DS319" s="12"/>
      <c r="DU319" s="15"/>
      <c r="FC319" s="38">
        <v>20</v>
      </c>
    </row>
    <row r="320" spans="1:159" s="38" customFormat="1" x14ac:dyDescent="0.25">
      <c r="A320" s="38">
        <v>20</v>
      </c>
      <c r="B320" s="38" t="s">
        <v>421</v>
      </c>
      <c r="C320" s="38" t="s">
        <v>422</v>
      </c>
      <c r="D320" s="38">
        <v>2014</v>
      </c>
      <c r="E320" s="38">
        <v>2010</v>
      </c>
      <c r="F320" s="38" t="s">
        <v>423</v>
      </c>
      <c r="G320" s="38" t="s">
        <v>420</v>
      </c>
      <c r="H320" s="38">
        <f t="shared" si="60"/>
        <v>42.666666666666664</v>
      </c>
      <c r="I320" s="38">
        <f t="shared" si="61"/>
        <v>-84.466666666666669</v>
      </c>
      <c r="J320" s="38">
        <v>268.5</v>
      </c>
      <c r="P320" s="57" t="s">
        <v>179</v>
      </c>
      <c r="Q320" s="57" t="s">
        <v>1390</v>
      </c>
      <c r="R320" s="57"/>
      <c r="S320" s="57" t="s">
        <v>1640</v>
      </c>
      <c r="T320" s="57" t="s">
        <v>1640</v>
      </c>
      <c r="X320" s="38" t="s">
        <v>228</v>
      </c>
      <c r="Y320" s="38">
        <v>6.6</v>
      </c>
      <c r="AB320" s="38" t="s">
        <v>1559</v>
      </c>
      <c r="AC320" s="38" t="s">
        <v>1836</v>
      </c>
      <c r="AD320" s="153" t="str">
        <f t="shared" si="49"/>
        <v>HV67/Rye33</v>
      </c>
      <c r="AE320" s="38" t="s">
        <v>277</v>
      </c>
      <c r="AJ320" s="38" t="s">
        <v>289</v>
      </c>
      <c r="AK320" s="38" t="s">
        <v>289</v>
      </c>
      <c r="AL320" s="38" t="s">
        <v>230</v>
      </c>
      <c r="AM320" s="38">
        <v>0</v>
      </c>
      <c r="AN320" s="38">
        <v>0</v>
      </c>
      <c r="AO320" s="38" t="s">
        <v>230</v>
      </c>
      <c r="AP320" s="38" t="s">
        <v>208</v>
      </c>
      <c r="AQ320" s="38">
        <v>4</v>
      </c>
      <c r="AR320" s="38">
        <v>4</v>
      </c>
      <c r="AS320" s="38" t="s">
        <v>177</v>
      </c>
      <c r="AT320" s="38">
        <v>5939</v>
      </c>
      <c r="AW320" s="64"/>
      <c r="DM320" s="38">
        <v>100</v>
      </c>
      <c r="DN320" s="38">
        <v>9.5299999999999994</v>
      </c>
      <c r="DO320" s="38" t="s">
        <v>424</v>
      </c>
      <c r="DS320" s="12"/>
      <c r="DU320" s="15"/>
      <c r="FC320" s="38">
        <v>20</v>
      </c>
    </row>
    <row r="321" spans="1:159" s="38" customFormat="1" x14ac:dyDescent="0.25">
      <c r="A321" s="38">
        <v>20</v>
      </c>
      <c r="B321" s="38" t="s">
        <v>421</v>
      </c>
      <c r="C321" s="38" t="s">
        <v>422</v>
      </c>
      <c r="D321" s="38">
        <v>2014</v>
      </c>
      <c r="E321" s="38">
        <v>2010</v>
      </c>
      <c r="F321" s="38" t="s">
        <v>423</v>
      </c>
      <c r="G321" s="38" t="s">
        <v>420</v>
      </c>
      <c r="H321" s="38">
        <f t="shared" si="60"/>
        <v>42.666666666666664</v>
      </c>
      <c r="I321" s="38">
        <f t="shared" si="61"/>
        <v>-84.466666666666669</v>
      </c>
      <c r="J321" s="38">
        <v>268.5</v>
      </c>
      <c r="P321" s="57" t="s">
        <v>179</v>
      </c>
      <c r="Q321" s="57" t="s">
        <v>1390</v>
      </c>
      <c r="R321" s="57"/>
      <c r="S321" s="57" t="s">
        <v>1640</v>
      </c>
      <c r="T321" s="57" t="s">
        <v>1640</v>
      </c>
      <c r="X321" s="38" t="s">
        <v>228</v>
      </c>
      <c r="Y321" s="38">
        <v>6.6</v>
      </c>
      <c r="AB321" s="38" t="s">
        <v>1559</v>
      </c>
      <c r="AC321" s="38" t="s">
        <v>1837</v>
      </c>
      <c r="AD321" s="153" t="str">
        <f t="shared" si="49"/>
        <v>HV50/Rye50</v>
      </c>
      <c r="AE321" s="38" t="s">
        <v>277</v>
      </c>
      <c r="AJ321" s="38" t="s">
        <v>289</v>
      </c>
      <c r="AK321" s="38" t="s">
        <v>289</v>
      </c>
      <c r="AL321" s="38" t="s">
        <v>230</v>
      </c>
      <c r="AM321" s="38">
        <v>0</v>
      </c>
      <c r="AN321" s="38">
        <v>0</v>
      </c>
      <c r="AO321" s="38" t="s">
        <v>230</v>
      </c>
      <c r="AP321" s="38" t="s">
        <v>208</v>
      </c>
      <c r="AQ321" s="38">
        <v>4</v>
      </c>
      <c r="AR321" s="38">
        <v>4</v>
      </c>
      <c r="AS321" s="38" t="s">
        <v>177</v>
      </c>
      <c r="AT321" s="38">
        <v>5064</v>
      </c>
      <c r="AW321" s="64"/>
      <c r="DM321" s="38">
        <v>100</v>
      </c>
      <c r="DN321" s="38">
        <v>7.8</v>
      </c>
      <c r="DO321" s="38" t="s">
        <v>424</v>
      </c>
      <c r="DS321" s="12"/>
      <c r="DU321" s="15"/>
      <c r="FC321" s="38">
        <v>20</v>
      </c>
    </row>
    <row r="322" spans="1:159" s="38" customFormat="1" x14ac:dyDescent="0.25">
      <c r="A322" s="38">
        <v>20</v>
      </c>
      <c r="B322" s="38" t="s">
        <v>421</v>
      </c>
      <c r="C322" s="38" t="s">
        <v>422</v>
      </c>
      <c r="D322" s="38">
        <v>2014</v>
      </c>
      <c r="E322" s="38">
        <v>2010</v>
      </c>
      <c r="F322" s="38" t="s">
        <v>423</v>
      </c>
      <c r="G322" s="38" t="s">
        <v>420</v>
      </c>
      <c r="H322" s="38">
        <f t="shared" si="60"/>
        <v>42.666666666666664</v>
      </c>
      <c r="I322" s="38">
        <f t="shared" si="61"/>
        <v>-84.466666666666669</v>
      </c>
      <c r="J322" s="38">
        <v>268.5</v>
      </c>
      <c r="P322" s="57" t="s">
        <v>179</v>
      </c>
      <c r="Q322" s="57" t="s">
        <v>1390</v>
      </c>
      <c r="R322" s="57"/>
      <c r="S322" s="57" t="s">
        <v>1640</v>
      </c>
      <c r="T322" s="57" t="s">
        <v>1640</v>
      </c>
      <c r="X322" s="38" t="s">
        <v>228</v>
      </c>
      <c r="Y322" s="38">
        <v>6.6</v>
      </c>
      <c r="AB322" s="38" t="s">
        <v>1559</v>
      </c>
      <c r="AC322" s="38" t="s">
        <v>1838</v>
      </c>
      <c r="AD322" s="153" t="str">
        <f t="shared" si="49"/>
        <v>HV33/Rye67</v>
      </c>
      <c r="AE322" s="38" t="s">
        <v>277</v>
      </c>
      <c r="AJ322" s="38" t="s">
        <v>289</v>
      </c>
      <c r="AK322" s="38" t="s">
        <v>289</v>
      </c>
      <c r="AL322" s="38" t="s">
        <v>230</v>
      </c>
      <c r="AM322" s="38">
        <v>0</v>
      </c>
      <c r="AN322" s="38">
        <v>0</v>
      </c>
      <c r="AO322" s="38" t="s">
        <v>230</v>
      </c>
      <c r="AP322" s="38" t="s">
        <v>208</v>
      </c>
      <c r="AQ322" s="38">
        <v>4</v>
      </c>
      <c r="AR322" s="38">
        <v>4</v>
      </c>
      <c r="AS322" s="38" t="s">
        <v>177</v>
      </c>
      <c r="AT322" s="38">
        <v>5489</v>
      </c>
      <c r="AW322" s="64"/>
      <c r="DM322" s="38">
        <v>100</v>
      </c>
      <c r="DN322" s="38">
        <v>5.41</v>
      </c>
      <c r="DO322" s="38" t="s">
        <v>424</v>
      </c>
      <c r="DS322" s="12"/>
      <c r="DU322" s="15"/>
      <c r="FC322" s="38">
        <v>20</v>
      </c>
    </row>
    <row r="323" spans="1:159" s="38" customFormat="1" x14ac:dyDescent="0.25">
      <c r="A323" s="38">
        <v>20</v>
      </c>
      <c r="B323" s="38" t="s">
        <v>421</v>
      </c>
      <c r="C323" s="38" t="s">
        <v>422</v>
      </c>
      <c r="D323" s="38">
        <v>2014</v>
      </c>
      <c r="E323" s="38">
        <v>2010</v>
      </c>
      <c r="F323" s="38" t="s">
        <v>423</v>
      </c>
      <c r="G323" s="38" t="s">
        <v>420</v>
      </c>
      <c r="H323" s="38">
        <f t="shared" si="60"/>
        <v>42.666666666666664</v>
      </c>
      <c r="I323" s="38">
        <f t="shared" si="61"/>
        <v>-84.466666666666669</v>
      </c>
      <c r="J323" s="38">
        <v>268.5</v>
      </c>
      <c r="P323" s="57" t="s">
        <v>179</v>
      </c>
      <c r="Q323" s="57" t="s">
        <v>1390</v>
      </c>
      <c r="R323" s="57"/>
      <c r="S323" s="57" t="s">
        <v>1640</v>
      </c>
      <c r="T323" s="57" t="s">
        <v>1640</v>
      </c>
      <c r="X323" s="38" t="s">
        <v>228</v>
      </c>
      <c r="Y323" s="38">
        <v>6.6</v>
      </c>
      <c r="AB323" s="38" t="s">
        <v>1559</v>
      </c>
      <c r="AC323" s="38" t="s">
        <v>1839</v>
      </c>
      <c r="AD323" s="153" t="str">
        <f t="shared" ref="AD323:AD386" si="62">IF(OR(AC323="*Rye",AC323="Rye*",AC323="Downy_brome"),"Rye",IF(OR(AC323="*Oat",AC323="Oat*",AC323="Trudan_8",AC323="*Wheat",AC323="Wheat*",AC323="Barley*",AC323="Hemp",AC323="Hemp",AC323="Triticale*",AC323="Grass",AC323="Millet"),"Grass",IF(OR(AC323="*clover",AC323="clover*",AC323="Vetch*",AC323="Vetch*",AC323="Alfalfa",AC323="Soybean",AC323="*Lentil",AC323="Lentil*",AC323="*Pea",AC323="Pea*",AC323="Lupine"),"Legume",AC323)))</f>
        <v>HV17/Rye83</v>
      </c>
      <c r="AE323" s="38" t="s">
        <v>277</v>
      </c>
      <c r="AJ323" s="38" t="s">
        <v>289</v>
      </c>
      <c r="AK323" s="38" t="s">
        <v>289</v>
      </c>
      <c r="AL323" s="38" t="s">
        <v>230</v>
      </c>
      <c r="AM323" s="38">
        <v>0</v>
      </c>
      <c r="AN323" s="38">
        <v>0</v>
      </c>
      <c r="AO323" s="38" t="s">
        <v>230</v>
      </c>
      <c r="AP323" s="38" t="s">
        <v>208</v>
      </c>
      <c r="AQ323" s="38">
        <v>4</v>
      </c>
      <c r="AR323" s="38">
        <v>4</v>
      </c>
      <c r="AS323" s="38" t="s">
        <v>177</v>
      </c>
      <c r="AT323" s="38">
        <v>4985</v>
      </c>
      <c r="AW323" s="64"/>
      <c r="DM323" s="38">
        <v>100</v>
      </c>
      <c r="DN323" s="38">
        <v>6.35</v>
      </c>
      <c r="DO323" s="38" t="s">
        <v>424</v>
      </c>
      <c r="DS323" s="12"/>
      <c r="DU323" s="15"/>
      <c r="FC323" s="38">
        <v>20</v>
      </c>
    </row>
    <row r="324" spans="1:159" s="38" customFormat="1" x14ac:dyDescent="0.25">
      <c r="A324" s="38">
        <v>20</v>
      </c>
      <c r="B324" s="38" t="s">
        <v>421</v>
      </c>
      <c r="C324" s="38" t="s">
        <v>422</v>
      </c>
      <c r="D324" s="38">
        <v>2014</v>
      </c>
      <c r="E324" s="38">
        <v>2010</v>
      </c>
      <c r="F324" s="38" t="s">
        <v>423</v>
      </c>
      <c r="G324" s="38" t="s">
        <v>420</v>
      </c>
      <c r="H324" s="38">
        <f t="shared" si="60"/>
        <v>42.666666666666664</v>
      </c>
      <c r="I324" s="38">
        <f t="shared" si="61"/>
        <v>-84.466666666666669</v>
      </c>
      <c r="J324" s="38">
        <v>268.5</v>
      </c>
      <c r="P324" s="57" t="s">
        <v>179</v>
      </c>
      <c r="Q324" s="57" t="s">
        <v>1390</v>
      </c>
      <c r="R324" s="57"/>
      <c r="S324" s="57" t="s">
        <v>1640</v>
      </c>
      <c r="T324" s="57" t="s">
        <v>1640</v>
      </c>
      <c r="X324" s="38" t="s">
        <v>228</v>
      </c>
      <c r="Y324" s="38">
        <v>6.6</v>
      </c>
      <c r="AB324" s="38" t="s">
        <v>1559</v>
      </c>
      <c r="AC324" s="38" t="s">
        <v>166</v>
      </c>
      <c r="AD324" s="153" t="str">
        <f t="shared" si="62"/>
        <v>Rye</v>
      </c>
      <c r="AE324" s="38" t="s">
        <v>277</v>
      </c>
      <c r="AJ324" s="38" t="s">
        <v>289</v>
      </c>
      <c r="AK324" s="38" t="s">
        <v>289</v>
      </c>
      <c r="AL324" s="38" t="s">
        <v>230</v>
      </c>
      <c r="AM324" s="38">
        <v>0</v>
      </c>
      <c r="AN324" s="38">
        <v>0</v>
      </c>
      <c r="AO324" s="38" t="s">
        <v>230</v>
      </c>
      <c r="AP324" s="38" t="s">
        <v>208</v>
      </c>
      <c r="AQ324" s="38">
        <v>4</v>
      </c>
      <c r="AR324" s="38">
        <v>4</v>
      </c>
      <c r="AS324" s="38" t="s">
        <v>177</v>
      </c>
      <c r="AT324" s="38">
        <v>4057</v>
      </c>
      <c r="AW324" s="64"/>
      <c r="DM324" s="38">
        <v>100</v>
      </c>
      <c r="DN324" s="38">
        <v>4.8</v>
      </c>
      <c r="DO324" s="38" t="s">
        <v>424</v>
      </c>
      <c r="DS324" s="12"/>
      <c r="DU324" s="15"/>
      <c r="FC324" s="38">
        <v>20</v>
      </c>
    </row>
    <row r="325" spans="1:159" s="31" customFormat="1" x14ac:dyDescent="0.25">
      <c r="A325" s="31">
        <v>20</v>
      </c>
      <c r="B325" s="31" t="s">
        <v>421</v>
      </c>
      <c r="C325" s="31" t="s">
        <v>422</v>
      </c>
      <c r="D325" s="31">
        <v>2014</v>
      </c>
      <c r="E325" s="31">
        <v>2011</v>
      </c>
      <c r="F325" s="31" t="s">
        <v>423</v>
      </c>
      <c r="G325" s="31" t="s">
        <v>420</v>
      </c>
      <c r="H325" s="31">
        <f t="shared" si="60"/>
        <v>42.666666666666664</v>
      </c>
      <c r="I325" s="31">
        <f t="shared" si="61"/>
        <v>-84.466666666666669</v>
      </c>
      <c r="J325" s="31">
        <v>268.5</v>
      </c>
      <c r="P325" s="56" t="s">
        <v>180</v>
      </c>
      <c r="Q325" s="56" t="s">
        <v>1390</v>
      </c>
      <c r="R325" s="56"/>
      <c r="S325" s="56" t="s">
        <v>1640</v>
      </c>
      <c r="T325" s="56" t="s">
        <v>1640</v>
      </c>
      <c r="X325" s="31" t="s">
        <v>228</v>
      </c>
      <c r="Y325" s="31">
        <v>6.6</v>
      </c>
      <c r="AB325" s="31" t="s">
        <v>1559</v>
      </c>
      <c r="AC325" s="31" t="s">
        <v>301</v>
      </c>
      <c r="AD325" s="153" t="str">
        <f t="shared" si="62"/>
        <v>Vetch</v>
      </c>
      <c r="AE325" s="31" t="s">
        <v>277</v>
      </c>
      <c r="AJ325" s="31" t="s">
        <v>289</v>
      </c>
      <c r="AK325" s="31" t="s">
        <v>289</v>
      </c>
      <c r="AL325" s="31" t="s">
        <v>230</v>
      </c>
      <c r="AM325" s="31">
        <v>0</v>
      </c>
      <c r="AN325" s="31">
        <v>0</v>
      </c>
      <c r="AO325" s="31" t="s">
        <v>230</v>
      </c>
      <c r="AP325" s="31" t="s">
        <v>208</v>
      </c>
      <c r="AQ325" s="31">
        <v>4</v>
      </c>
      <c r="AR325" s="31">
        <v>4</v>
      </c>
      <c r="AS325" s="31" t="s">
        <v>177</v>
      </c>
      <c r="AT325" s="31">
        <v>3023</v>
      </c>
      <c r="AW325" s="64"/>
      <c r="DM325" s="31">
        <v>100</v>
      </c>
      <c r="DN325" s="31">
        <v>37.82</v>
      </c>
      <c r="DO325" s="31" t="s">
        <v>424</v>
      </c>
      <c r="DS325" s="12"/>
      <c r="DU325" s="15"/>
      <c r="FC325" s="31">
        <v>20</v>
      </c>
    </row>
    <row r="326" spans="1:159" s="31" customFormat="1" x14ac:dyDescent="0.25">
      <c r="A326" s="31">
        <v>20</v>
      </c>
      <c r="B326" s="31" t="s">
        <v>421</v>
      </c>
      <c r="C326" s="31" t="s">
        <v>422</v>
      </c>
      <c r="D326" s="31">
        <v>2014</v>
      </c>
      <c r="E326" s="31">
        <v>2011</v>
      </c>
      <c r="F326" s="31" t="s">
        <v>423</v>
      </c>
      <c r="G326" s="31" t="s">
        <v>420</v>
      </c>
      <c r="H326" s="31">
        <f t="shared" si="60"/>
        <v>42.666666666666664</v>
      </c>
      <c r="I326" s="31">
        <f t="shared" si="61"/>
        <v>-84.466666666666669</v>
      </c>
      <c r="J326" s="31">
        <v>268.5</v>
      </c>
      <c r="P326" s="56" t="s">
        <v>180</v>
      </c>
      <c r="Q326" s="56" t="s">
        <v>1390</v>
      </c>
      <c r="R326" s="56"/>
      <c r="S326" s="56" t="s">
        <v>1640</v>
      </c>
      <c r="T326" s="56" t="s">
        <v>1640</v>
      </c>
      <c r="X326" s="31" t="s">
        <v>228</v>
      </c>
      <c r="Y326" s="31">
        <v>6.6</v>
      </c>
      <c r="AB326" s="31" t="s">
        <v>1559</v>
      </c>
      <c r="AC326" s="31" t="s">
        <v>1835</v>
      </c>
      <c r="AD326" s="153" t="str">
        <f t="shared" si="62"/>
        <v>HV83/Rye17</v>
      </c>
      <c r="AE326" s="31" t="s">
        <v>277</v>
      </c>
      <c r="AJ326" s="31" t="s">
        <v>289</v>
      </c>
      <c r="AK326" s="31" t="s">
        <v>289</v>
      </c>
      <c r="AL326" s="31" t="s">
        <v>230</v>
      </c>
      <c r="AM326" s="31">
        <v>0</v>
      </c>
      <c r="AN326" s="31">
        <v>0</v>
      </c>
      <c r="AO326" s="31" t="s">
        <v>230</v>
      </c>
      <c r="AP326" s="31" t="s">
        <v>208</v>
      </c>
      <c r="AQ326" s="31">
        <v>4</v>
      </c>
      <c r="AR326" s="31">
        <v>4</v>
      </c>
      <c r="AS326" s="31" t="s">
        <v>177</v>
      </c>
      <c r="AT326" s="31">
        <v>4216</v>
      </c>
      <c r="AW326" s="64"/>
      <c r="DM326" s="31">
        <v>100</v>
      </c>
      <c r="DN326" s="31">
        <v>34.700000000000003</v>
      </c>
      <c r="DO326" s="31" t="s">
        <v>424</v>
      </c>
      <c r="DS326" s="12"/>
      <c r="DU326" s="15"/>
      <c r="FC326" s="31">
        <v>20</v>
      </c>
    </row>
    <row r="327" spans="1:159" s="31" customFormat="1" x14ac:dyDescent="0.25">
      <c r="A327" s="31">
        <v>20</v>
      </c>
      <c r="B327" s="31" t="s">
        <v>421</v>
      </c>
      <c r="C327" s="31" t="s">
        <v>422</v>
      </c>
      <c r="D327" s="31">
        <v>2014</v>
      </c>
      <c r="E327" s="31">
        <v>2011</v>
      </c>
      <c r="F327" s="31" t="s">
        <v>423</v>
      </c>
      <c r="G327" s="31" t="s">
        <v>420</v>
      </c>
      <c r="H327" s="31">
        <f t="shared" si="60"/>
        <v>42.666666666666664</v>
      </c>
      <c r="I327" s="31">
        <f t="shared" si="61"/>
        <v>-84.466666666666669</v>
      </c>
      <c r="J327" s="31">
        <v>268.5</v>
      </c>
      <c r="P327" s="56" t="s">
        <v>180</v>
      </c>
      <c r="Q327" s="56" t="s">
        <v>1390</v>
      </c>
      <c r="R327" s="56"/>
      <c r="S327" s="56" t="s">
        <v>1640</v>
      </c>
      <c r="T327" s="56" t="s">
        <v>1640</v>
      </c>
      <c r="X327" s="31" t="s">
        <v>228</v>
      </c>
      <c r="Y327" s="31">
        <v>6.6</v>
      </c>
      <c r="AB327" s="31" t="s">
        <v>1559</v>
      </c>
      <c r="AC327" s="31" t="s">
        <v>1836</v>
      </c>
      <c r="AD327" s="153" t="str">
        <f t="shared" si="62"/>
        <v>HV67/Rye33</v>
      </c>
      <c r="AE327" s="31" t="s">
        <v>277</v>
      </c>
      <c r="AJ327" s="31" t="s">
        <v>289</v>
      </c>
      <c r="AK327" s="31" t="s">
        <v>289</v>
      </c>
      <c r="AL327" s="31" t="s">
        <v>230</v>
      </c>
      <c r="AM327" s="31">
        <v>0</v>
      </c>
      <c r="AN327" s="31">
        <v>0</v>
      </c>
      <c r="AO327" s="31" t="s">
        <v>230</v>
      </c>
      <c r="AP327" s="31" t="s">
        <v>208</v>
      </c>
      <c r="AQ327" s="31">
        <v>4</v>
      </c>
      <c r="AR327" s="31">
        <v>4</v>
      </c>
      <c r="AS327" s="31" t="s">
        <v>177</v>
      </c>
      <c r="AT327" s="31">
        <v>4375</v>
      </c>
      <c r="AW327" s="64"/>
      <c r="DM327" s="31">
        <v>100</v>
      </c>
      <c r="DN327" s="31">
        <v>30.66</v>
      </c>
      <c r="DO327" s="31" t="s">
        <v>424</v>
      </c>
      <c r="DS327" s="12"/>
      <c r="DU327" s="15"/>
      <c r="FC327" s="31">
        <v>20</v>
      </c>
    </row>
    <row r="328" spans="1:159" s="31" customFormat="1" x14ac:dyDescent="0.25">
      <c r="A328" s="31">
        <v>20</v>
      </c>
      <c r="B328" s="31" t="s">
        <v>421</v>
      </c>
      <c r="C328" s="31" t="s">
        <v>422</v>
      </c>
      <c r="D328" s="31">
        <v>2014</v>
      </c>
      <c r="E328" s="31">
        <v>2011</v>
      </c>
      <c r="F328" s="31" t="s">
        <v>423</v>
      </c>
      <c r="G328" s="31" t="s">
        <v>420</v>
      </c>
      <c r="H328" s="31">
        <f t="shared" si="60"/>
        <v>42.666666666666664</v>
      </c>
      <c r="I328" s="31">
        <f t="shared" si="61"/>
        <v>-84.466666666666669</v>
      </c>
      <c r="J328" s="31">
        <v>268.5</v>
      </c>
      <c r="P328" s="56" t="s">
        <v>180</v>
      </c>
      <c r="Q328" s="56" t="s">
        <v>1390</v>
      </c>
      <c r="R328" s="56"/>
      <c r="S328" s="56" t="s">
        <v>1640</v>
      </c>
      <c r="T328" s="56" t="s">
        <v>1640</v>
      </c>
      <c r="X328" s="31" t="s">
        <v>228</v>
      </c>
      <c r="Y328" s="31">
        <v>6.6</v>
      </c>
      <c r="AB328" s="31" t="s">
        <v>1559</v>
      </c>
      <c r="AC328" s="31" t="s">
        <v>1837</v>
      </c>
      <c r="AD328" s="153" t="str">
        <f t="shared" si="62"/>
        <v>HV50/Rye50</v>
      </c>
      <c r="AE328" s="31" t="s">
        <v>277</v>
      </c>
      <c r="AJ328" s="31" t="s">
        <v>289</v>
      </c>
      <c r="AK328" s="31" t="s">
        <v>289</v>
      </c>
      <c r="AL328" s="31" t="s">
        <v>230</v>
      </c>
      <c r="AM328" s="31">
        <v>0</v>
      </c>
      <c r="AN328" s="31">
        <v>0</v>
      </c>
      <c r="AO328" s="31" t="s">
        <v>230</v>
      </c>
      <c r="AP328" s="31" t="s">
        <v>208</v>
      </c>
      <c r="AQ328" s="31">
        <v>4</v>
      </c>
      <c r="AR328" s="31">
        <v>4</v>
      </c>
      <c r="AS328" s="31" t="s">
        <v>177</v>
      </c>
      <c r="AT328" s="31">
        <v>3500</v>
      </c>
      <c r="AW328" s="64"/>
      <c r="DM328" s="31">
        <v>100</v>
      </c>
      <c r="DN328" s="31">
        <v>8.5</v>
      </c>
      <c r="DO328" s="31" t="s">
        <v>424</v>
      </c>
      <c r="DS328" s="12"/>
      <c r="DU328" s="15"/>
      <c r="FC328" s="31">
        <v>20</v>
      </c>
    </row>
    <row r="329" spans="1:159" s="31" customFormat="1" x14ac:dyDescent="0.25">
      <c r="A329" s="31">
        <v>20</v>
      </c>
      <c r="B329" s="31" t="s">
        <v>421</v>
      </c>
      <c r="C329" s="31" t="s">
        <v>422</v>
      </c>
      <c r="D329" s="31">
        <v>2014</v>
      </c>
      <c r="E329" s="31">
        <v>2011</v>
      </c>
      <c r="F329" s="31" t="s">
        <v>423</v>
      </c>
      <c r="G329" s="31" t="s">
        <v>420</v>
      </c>
      <c r="H329" s="31">
        <f t="shared" si="60"/>
        <v>42.666666666666664</v>
      </c>
      <c r="I329" s="31">
        <f t="shared" si="61"/>
        <v>-84.466666666666669</v>
      </c>
      <c r="J329" s="31">
        <v>268.5</v>
      </c>
      <c r="P329" s="56" t="s">
        <v>180</v>
      </c>
      <c r="Q329" s="56" t="s">
        <v>1390</v>
      </c>
      <c r="R329" s="56"/>
      <c r="S329" s="56" t="s">
        <v>1640</v>
      </c>
      <c r="T329" s="56" t="s">
        <v>1640</v>
      </c>
      <c r="X329" s="31" t="s">
        <v>228</v>
      </c>
      <c r="Y329" s="31">
        <v>6.6</v>
      </c>
      <c r="AB329" s="31" t="s">
        <v>1559</v>
      </c>
      <c r="AC329" s="31" t="s">
        <v>1838</v>
      </c>
      <c r="AD329" s="153" t="str">
        <f t="shared" si="62"/>
        <v>HV33/Rye67</v>
      </c>
      <c r="AE329" s="31" t="s">
        <v>277</v>
      </c>
      <c r="AJ329" s="31" t="s">
        <v>289</v>
      </c>
      <c r="AK329" s="31" t="s">
        <v>289</v>
      </c>
      <c r="AL329" s="31" t="s">
        <v>230</v>
      </c>
      <c r="AM329" s="31">
        <v>0</v>
      </c>
      <c r="AN329" s="31">
        <v>0</v>
      </c>
      <c r="AO329" s="31" t="s">
        <v>230</v>
      </c>
      <c r="AP329" s="31" t="s">
        <v>208</v>
      </c>
      <c r="AQ329" s="31">
        <v>4</v>
      </c>
      <c r="AR329" s="31">
        <v>4</v>
      </c>
      <c r="AS329" s="31" t="s">
        <v>177</v>
      </c>
      <c r="AT329" s="31">
        <v>4322</v>
      </c>
      <c r="AW329" s="64"/>
      <c r="DM329" s="31">
        <v>100</v>
      </c>
      <c r="DN329" s="31">
        <v>13.16</v>
      </c>
      <c r="DO329" s="31" t="s">
        <v>424</v>
      </c>
      <c r="DS329" s="12"/>
      <c r="DU329" s="15"/>
      <c r="FC329" s="31">
        <v>20</v>
      </c>
    </row>
    <row r="330" spans="1:159" s="31" customFormat="1" x14ac:dyDescent="0.25">
      <c r="A330" s="31">
        <v>20</v>
      </c>
      <c r="B330" s="31" t="s">
        <v>421</v>
      </c>
      <c r="C330" s="31" t="s">
        <v>422</v>
      </c>
      <c r="D330" s="31">
        <v>2014</v>
      </c>
      <c r="E330" s="31">
        <v>2011</v>
      </c>
      <c r="F330" s="31" t="s">
        <v>423</v>
      </c>
      <c r="G330" s="31" t="s">
        <v>420</v>
      </c>
      <c r="H330" s="31">
        <f t="shared" si="60"/>
        <v>42.666666666666664</v>
      </c>
      <c r="I330" s="31">
        <f t="shared" si="61"/>
        <v>-84.466666666666669</v>
      </c>
      <c r="J330" s="31">
        <v>268.5</v>
      </c>
      <c r="P330" s="56" t="s">
        <v>180</v>
      </c>
      <c r="Q330" s="56" t="s">
        <v>1390</v>
      </c>
      <c r="R330" s="56"/>
      <c r="S330" s="56" t="s">
        <v>1640</v>
      </c>
      <c r="T330" s="56" t="s">
        <v>1640</v>
      </c>
      <c r="X330" s="31" t="s">
        <v>228</v>
      </c>
      <c r="Y330" s="31">
        <v>6.6</v>
      </c>
      <c r="AB330" s="31" t="s">
        <v>1559</v>
      </c>
      <c r="AC330" s="31" t="s">
        <v>1839</v>
      </c>
      <c r="AD330" s="153" t="str">
        <f t="shared" si="62"/>
        <v>HV17/Rye83</v>
      </c>
      <c r="AE330" s="31" t="s">
        <v>277</v>
      </c>
      <c r="AJ330" s="31" t="s">
        <v>289</v>
      </c>
      <c r="AK330" s="31" t="s">
        <v>289</v>
      </c>
      <c r="AL330" s="31" t="s">
        <v>230</v>
      </c>
      <c r="AM330" s="31">
        <v>0</v>
      </c>
      <c r="AN330" s="31">
        <v>0</v>
      </c>
      <c r="AO330" s="31" t="s">
        <v>230</v>
      </c>
      <c r="AP330" s="31" t="s">
        <v>208</v>
      </c>
      <c r="AQ330" s="31">
        <v>4</v>
      </c>
      <c r="AR330" s="31">
        <v>4</v>
      </c>
      <c r="AS330" s="31" t="s">
        <v>177</v>
      </c>
      <c r="AT330" s="31">
        <v>3606</v>
      </c>
      <c r="AW330" s="64"/>
      <c r="DM330" s="31">
        <v>100</v>
      </c>
      <c r="DN330" s="31">
        <v>8.3800000000000008</v>
      </c>
      <c r="DO330" s="31" t="s">
        <v>424</v>
      </c>
      <c r="DS330" s="12"/>
      <c r="DU330" s="15"/>
      <c r="FC330" s="31">
        <v>20</v>
      </c>
    </row>
    <row r="331" spans="1:159" s="31" customFormat="1" x14ac:dyDescent="0.25">
      <c r="A331" s="31">
        <v>20</v>
      </c>
      <c r="B331" s="31" t="s">
        <v>421</v>
      </c>
      <c r="C331" s="31" t="s">
        <v>422</v>
      </c>
      <c r="D331" s="31">
        <v>2014</v>
      </c>
      <c r="E331" s="31">
        <v>2011</v>
      </c>
      <c r="F331" s="31" t="s">
        <v>423</v>
      </c>
      <c r="G331" s="31" t="s">
        <v>420</v>
      </c>
      <c r="H331" s="31">
        <f t="shared" si="60"/>
        <v>42.666666666666664</v>
      </c>
      <c r="I331" s="31">
        <f t="shared" si="61"/>
        <v>-84.466666666666669</v>
      </c>
      <c r="J331" s="31">
        <v>268.5</v>
      </c>
      <c r="P331" s="56" t="s">
        <v>180</v>
      </c>
      <c r="Q331" s="56" t="s">
        <v>1390</v>
      </c>
      <c r="R331" s="56"/>
      <c r="S331" s="56" t="s">
        <v>1640</v>
      </c>
      <c r="T331" s="56" t="s">
        <v>1640</v>
      </c>
      <c r="X331" s="31" t="s">
        <v>228</v>
      </c>
      <c r="Y331" s="31">
        <v>6.6</v>
      </c>
      <c r="AB331" s="31" t="s">
        <v>1559</v>
      </c>
      <c r="AC331" s="31" t="s">
        <v>166</v>
      </c>
      <c r="AD331" s="153" t="str">
        <f t="shared" si="62"/>
        <v>Rye</v>
      </c>
      <c r="AE331" s="31" t="s">
        <v>277</v>
      </c>
      <c r="AJ331" s="31" t="s">
        <v>289</v>
      </c>
      <c r="AK331" s="31" t="s">
        <v>289</v>
      </c>
      <c r="AL331" s="31" t="s">
        <v>230</v>
      </c>
      <c r="AM331" s="31">
        <v>0</v>
      </c>
      <c r="AN331" s="31">
        <v>0</v>
      </c>
      <c r="AO331" s="31" t="s">
        <v>230</v>
      </c>
      <c r="AP331" s="31" t="s">
        <v>208</v>
      </c>
      <c r="AQ331" s="31">
        <v>4</v>
      </c>
      <c r="AR331" s="31">
        <v>4</v>
      </c>
      <c r="AS331" s="31" t="s">
        <v>177</v>
      </c>
      <c r="AT331" s="31">
        <v>3235</v>
      </c>
      <c r="AW331" s="64"/>
      <c r="DM331" s="31">
        <v>100</v>
      </c>
      <c r="DN331" s="31">
        <v>5.72</v>
      </c>
      <c r="DO331" s="31" t="s">
        <v>424</v>
      </c>
      <c r="DS331" s="12"/>
      <c r="DU331" s="15"/>
      <c r="FC331" s="31">
        <v>20</v>
      </c>
    </row>
    <row r="332" spans="1:159" s="42" customFormat="1" x14ac:dyDescent="0.25">
      <c r="A332" s="42">
        <v>21</v>
      </c>
      <c r="B332" s="42" t="s">
        <v>425</v>
      </c>
      <c r="C332" s="42" t="s">
        <v>426</v>
      </c>
      <c r="D332" s="42">
        <v>2013</v>
      </c>
      <c r="E332" s="42">
        <v>2009</v>
      </c>
      <c r="F332" s="42" t="s">
        <v>427</v>
      </c>
      <c r="G332" s="42" t="s">
        <v>430</v>
      </c>
      <c r="H332" s="42">
        <v>38.92</v>
      </c>
      <c r="I332" s="42">
        <v>-76.150000000000006</v>
      </c>
      <c r="J332" s="42">
        <v>4.8</v>
      </c>
      <c r="P332" s="59" t="s">
        <v>179</v>
      </c>
      <c r="Q332" s="59"/>
      <c r="R332" s="59" t="s">
        <v>434</v>
      </c>
      <c r="S332" s="59" t="s">
        <v>1644</v>
      </c>
      <c r="T332" s="59" t="s">
        <v>1644</v>
      </c>
      <c r="AC332" s="42" t="s">
        <v>1814</v>
      </c>
      <c r="AD332" s="153" t="str">
        <f t="shared" si="62"/>
        <v>Sunn_hemp</v>
      </c>
      <c r="AE332" s="42" t="s">
        <v>441</v>
      </c>
      <c r="AM332" s="42" t="s">
        <v>428</v>
      </c>
      <c r="AN332" s="42" t="s">
        <v>428</v>
      </c>
      <c r="AO332" s="42" t="s">
        <v>230</v>
      </c>
      <c r="AP332" s="42" t="s">
        <v>208</v>
      </c>
      <c r="AQ332" s="42">
        <v>4</v>
      </c>
      <c r="AR332" s="42">
        <v>4</v>
      </c>
      <c r="AS332" s="42" t="s">
        <v>177</v>
      </c>
      <c r="AW332" s="63"/>
      <c r="DP332" s="42">
        <v>0.2</v>
      </c>
      <c r="DQ332" s="42">
        <v>0.2</v>
      </c>
      <c r="DR332" s="42" t="s">
        <v>433</v>
      </c>
      <c r="DS332" s="12"/>
      <c r="DU332" s="15"/>
      <c r="FA332" s="42" t="s">
        <v>440</v>
      </c>
      <c r="FB332" s="42" t="s">
        <v>851</v>
      </c>
      <c r="FC332" s="42">
        <v>21</v>
      </c>
    </row>
    <row r="333" spans="1:159" s="42" customFormat="1" x14ac:dyDescent="0.25">
      <c r="A333" s="42">
        <v>21</v>
      </c>
      <c r="B333" s="42" t="s">
        <v>425</v>
      </c>
      <c r="C333" s="42" t="s">
        <v>426</v>
      </c>
      <c r="D333" s="42">
        <v>2013</v>
      </c>
      <c r="E333" s="42">
        <v>2009</v>
      </c>
      <c r="F333" s="42" t="s">
        <v>427</v>
      </c>
      <c r="G333" s="42" t="s">
        <v>430</v>
      </c>
      <c r="H333" s="42">
        <v>38.92</v>
      </c>
      <c r="I333" s="42">
        <v>-76.150000000000006</v>
      </c>
      <c r="J333" s="42">
        <v>4.8</v>
      </c>
      <c r="P333" s="59" t="s">
        <v>179</v>
      </c>
      <c r="Q333" s="59"/>
      <c r="R333" s="59" t="s">
        <v>435</v>
      </c>
      <c r="S333" s="59" t="s">
        <v>1644</v>
      </c>
      <c r="T333" s="59" t="s">
        <v>1644</v>
      </c>
      <c r="AC333" s="42" t="s">
        <v>1814</v>
      </c>
      <c r="AD333" s="153" t="str">
        <f t="shared" si="62"/>
        <v>Sunn_hemp</v>
      </c>
      <c r="AE333" s="42" t="s">
        <v>441</v>
      </c>
      <c r="AM333" s="42" t="s">
        <v>428</v>
      </c>
      <c r="AN333" s="42" t="s">
        <v>428</v>
      </c>
      <c r="AO333" s="42" t="s">
        <v>230</v>
      </c>
      <c r="AP333" s="42" t="s">
        <v>208</v>
      </c>
      <c r="AQ333" s="42">
        <v>4</v>
      </c>
      <c r="AR333" s="42">
        <v>4</v>
      </c>
      <c r="AS333" s="42" t="s">
        <v>177</v>
      </c>
      <c r="AW333" s="63"/>
      <c r="DP333" s="42">
        <v>1.79</v>
      </c>
      <c r="DQ333" s="42">
        <v>2.71</v>
      </c>
      <c r="DR333" s="42" t="s">
        <v>433</v>
      </c>
      <c r="DS333" s="12"/>
      <c r="DU333" s="15"/>
      <c r="FA333" s="42" t="s">
        <v>440</v>
      </c>
      <c r="FB333" s="42" t="s">
        <v>851</v>
      </c>
      <c r="FC333" s="42">
        <v>21</v>
      </c>
    </row>
    <row r="334" spans="1:159" s="42" customFormat="1" x14ac:dyDescent="0.25">
      <c r="A334" s="42">
        <v>21</v>
      </c>
      <c r="B334" s="42" t="s">
        <v>425</v>
      </c>
      <c r="C334" s="42" t="s">
        <v>426</v>
      </c>
      <c r="D334" s="42">
        <v>2013</v>
      </c>
      <c r="E334" s="42">
        <v>2009</v>
      </c>
      <c r="F334" s="42" t="s">
        <v>427</v>
      </c>
      <c r="G334" s="42" t="s">
        <v>430</v>
      </c>
      <c r="H334" s="42">
        <v>38.92</v>
      </c>
      <c r="I334" s="42">
        <v>-76.150000000000006</v>
      </c>
      <c r="J334" s="42">
        <v>4.8</v>
      </c>
      <c r="P334" s="59" t="s">
        <v>179</v>
      </c>
      <c r="Q334" s="59"/>
      <c r="R334" s="59" t="s">
        <v>436</v>
      </c>
      <c r="S334" s="59" t="s">
        <v>1644</v>
      </c>
      <c r="T334" s="59" t="s">
        <v>1644</v>
      </c>
      <c r="AC334" s="42" t="s">
        <v>1814</v>
      </c>
      <c r="AD334" s="153" t="str">
        <f t="shared" si="62"/>
        <v>Sunn_hemp</v>
      </c>
      <c r="AE334" s="42" t="s">
        <v>441</v>
      </c>
      <c r="AM334" s="42" t="s">
        <v>428</v>
      </c>
      <c r="AN334" s="42" t="s">
        <v>428</v>
      </c>
      <c r="AO334" s="42" t="s">
        <v>230</v>
      </c>
      <c r="AP334" s="42" t="s">
        <v>208</v>
      </c>
      <c r="AQ334" s="42">
        <v>4</v>
      </c>
      <c r="AR334" s="42">
        <v>4</v>
      </c>
      <c r="AS334" s="42" t="s">
        <v>177</v>
      </c>
      <c r="AW334" s="63"/>
      <c r="DP334" s="42">
        <v>4.59</v>
      </c>
      <c r="DQ334" s="42">
        <v>3.62</v>
      </c>
      <c r="DR334" s="42" t="s">
        <v>433</v>
      </c>
      <c r="DS334" s="12"/>
      <c r="DU334" s="15"/>
      <c r="FA334" s="42" t="s">
        <v>440</v>
      </c>
      <c r="FB334" s="42" t="s">
        <v>851</v>
      </c>
      <c r="FC334" s="42">
        <v>21</v>
      </c>
    </row>
    <row r="335" spans="1:159" s="42" customFormat="1" x14ac:dyDescent="0.25">
      <c r="A335" s="42">
        <v>21</v>
      </c>
      <c r="B335" s="42" t="s">
        <v>425</v>
      </c>
      <c r="C335" s="42" t="s">
        <v>426</v>
      </c>
      <c r="D335" s="42">
        <v>2013</v>
      </c>
      <c r="E335" s="42">
        <v>2009</v>
      </c>
      <c r="F335" s="42" t="s">
        <v>427</v>
      </c>
      <c r="G335" s="42" t="s">
        <v>430</v>
      </c>
      <c r="H335" s="42">
        <v>38.92</v>
      </c>
      <c r="I335" s="42">
        <v>-76.150000000000006</v>
      </c>
      <c r="J335" s="42">
        <v>4.8</v>
      </c>
      <c r="P335" s="59" t="s">
        <v>179</v>
      </c>
      <c r="Q335" s="59"/>
      <c r="R335" s="59" t="s">
        <v>437</v>
      </c>
      <c r="S335" s="59" t="s">
        <v>1644</v>
      </c>
      <c r="T335" s="59" t="s">
        <v>1644</v>
      </c>
      <c r="AC335" s="42" t="s">
        <v>1814</v>
      </c>
      <c r="AD335" s="153" t="str">
        <f t="shared" si="62"/>
        <v>Sunn_hemp</v>
      </c>
      <c r="AE335" s="42" t="s">
        <v>441</v>
      </c>
      <c r="AM335" s="42" t="s">
        <v>428</v>
      </c>
      <c r="AN335" s="42" t="s">
        <v>428</v>
      </c>
      <c r="AO335" s="42" t="s">
        <v>230</v>
      </c>
      <c r="AP335" s="42" t="s">
        <v>208</v>
      </c>
      <c r="AQ335" s="42">
        <v>4</v>
      </c>
      <c r="AR335" s="42">
        <v>4</v>
      </c>
      <c r="AS335" s="42" t="s">
        <v>177</v>
      </c>
      <c r="AW335" s="63"/>
      <c r="DP335" s="42">
        <v>5.23</v>
      </c>
      <c r="DQ335" s="42">
        <v>3.39</v>
      </c>
      <c r="DR335" s="42" t="s">
        <v>433</v>
      </c>
      <c r="DS335" s="12"/>
      <c r="DU335" s="15"/>
      <c r="FA335" s="42" t="s">
        <v>440</v>
      </c>
      <c r="FB335" s="42" t="s">
        <v>851</v>
      </c>
      <c r="FC335" s="42">
        <v>21</v>
      </c>
    </row>
    <row r="336" spans="1:159" s="42" customFormat="1" x14ac:dyDescent="0.25">
      <c r="A336" s="42">
        <v>21</v>
      </c>
      <c r="B336" s="42" t="s">
        <v>425</v>
      </c>
      <c r="C336" s="42" t="s">
        <v>426</v>
      </c>
      <c r="D336" s="42">
        <v>2013</v>
      </c>
      <c r="E336" s="42">
        <v>2009</v>
      </c>
      <c r="F336" s="42" t="s">
        <v>427</v>
      </c>
      <c r="G336" s="42" t="s">
        <v>430</v>
      </c>
      <c r="H336" s="42">
        <v>38.92</v>
      </c>
      <c r="I336" s="42">
        <v>-76.150000000000006</v>
      </c>
      <c r="J336" s="42">
        <v>4.8</v>
      </c>
      <c r="P336" s="59" t="s">
        <v>179</v>
      </c>
      <c r="Q336" s="59"/>
      <c r="R336" s="59" t="s">
        <v>438</v>
      </c>
      <c r="S336" s="59" t="s">
        <v>1644</v>
      </c>
      <c r="T336" s="59" t="s">
        <v>1644</v>
      </c>
      <c r="AC336" s="42" t="s">
        <v>1814</v>
      </c>
      <c r="AD336" s="153" t="str">
        <f t="shared" si="62"/>
        <v>Sunn_hemp</v>
      </c>
      <c r="AE336" s="42" t="s">
        <v>441</v>
      </c>
      <c r="AM336" s="42" t="s">
        <v>428</v>
      </c>
      <c r="AN336" s="42" t="s">
        <v>428</v>
      </c>
      <c r="AO336" s="42" t="s">
        <v>230</v>
      </c>
      <c r="AP336" s="42" t="s">
        <v>208</v>
      </c>
      <c r="AQ336" s="42">
        <v>4</v>
      </c>
      <c r="AR336" s="42">
        <v>4</v>
      </c>
      <c r="AS336" s="42" t="s">
        <v>177</v>
      </c>
      <c r="AW336" s="63"/>
      <c r="DP336" s="42">
        <v>1.19</v>
      </c>
      <c r="DQ336" s="42">
        <v>0.5</v>
      </c>
      <c r="DR336" s="42" t="s">
        <v>433</v>
      </c>
      <c r="DS336" s="12"/>
      <c r="DU336" s="15"/>
      <c r="FA336" s="42" t="s">
        <v>440</v>
      </c>
      <c r="FB336" s="42" t="s">
        <v>851</v>
      </c>
      <c r="FC336" s="42">
        <v>21</v>
      </c>
    </row>
    <row r="337" spans="1:159" s="26" customFormat="1" x14ac:dyDescent="0.25">
      <c r="A337" s="26">
        <v>21</v>
      </c>
      <c r="B337" s="26" t="s">
        <v>425</v>
      </c>
      <c r="C337" s="26" t="s">
        <v>426</v>
      </c>
      <c r="D337" s="26">
        <v>2013</v>
      </c>
      <c r="E337" s="26">
        <v>2010</v>
      </c>
      <c r="F337" s="26" t="s">
        <v>427</v>
      </c>
      <c r="G337" s="26" t="s">
        <v>430</v>
      </c>
      <c r="H337" s="26">
        <v>38.92</v>
      </c>
      <c r="I337" s="26">
        <v>-76.150000000000006</v>
      </c>
      <c r="J337" s="26">
        <v>4.8</v>
      </c>
      <c r="P337" s="52" t="s">
        <v>180</v>
      </c>
      <c r="Q337" s="52"/>
      <c r="R337" s="52" t="s">
        <v>434</v>
      </c>
      <c r="S337" s="52" t="s">
        <v>1644</v>
      </c>
      <c r="T337" s="52" t="s">
        <v>1644</v>
      </c>
      <c r="AC337" s="26" t="s">
        <v>1814</v>
      </c>
      <c r="AD337" s="153" t="str">
        <f t="shared" si="62"/>
        <v>Sunn_hemp</v>
      </c>
      <c r="AE337" s="26" t="s">
        <v>441</v>
      </c>
      <c r="AM337" s="26" t="s">
        <v>428</v>
      </c>
      <c r="AN337" s="26" t="s">
        <v>428</v>
      </c>
      <c r="AO337" s="26" t="s">
        <v>230</v>
      </c>
      <c r="AP337" s="26" t="s">
        <v>208</v>
      </c>
      <c r="AQ337" s="26">
        <v>4</v>
      </c>
      <c r="AR337" s="26">
        <v>4</v>
      </c>
      <c r="AS337" s="26" t="s">
        <v>177</v>
      </c>
      <c r="AW337" s="63"/>
      <c r="DP337" s="26">
        <v>0.01</v>
      </c>
      <c r="DQ337" s="26">
        <v>0.01</v>
      </c>
      <c r="DR337" s="26" t="s">
        <v>433</v>
      </c>
      <c r="DS337" s="12"/>
      <c r="DU337" s="15"/>
      <c r="FA337" s="26" t="s">
        <v>440</v>
      </c>
      <c r="FB337" s="26" t="s">
        <v>851</v>
      </c>
      <c r="FC337" s="26">
        <v>21</v>
      </c>
    </row>
    <row r="338" spans="1:159" s="26" customFormat="1" x14ac:dyDescent="0.25">
      <c r="A338" s="26">
        <v>21</v>
      </c>
      <c r="B338" s="26" t="s">
        <v>425</v>
      </c>
      <c r="C338" s="26" t="s">
        <v>426</v>
      </c>
      <c r="D338" s="26">
        <v>2013</v>
      </c>
      <c r="E338" s="26">
        <v>2010</v>
      </c>
      <c r="F338" s="26" t="s">
        <v>427</v>
      </c>
      <c r="G338" s="26" t="s">
        <v>430</v>
      </c>
      <c r="H338" s="26">
        <v>38.92</v>
      </c>
      <c r="I338" s="26">
        <v>-76.150000000000006</v>
      </c>
      <c r="J338" s="26">
        <v>4.8</v>
      </c>
      <c r="P338" s="52" t="s">
        <v>180</v>
      </c>
      <c r="Q338" s="52"/>
      <c r="R338" s="52" t="s">
        <v>435</v>
      </c>
      <c r="S338" s="52" t="s">
        <v>1644</v>
      </c>
      <c r="T338" s="52" t="s">
        <v>1644</v>
      </c>
      <c r="AC338" s="26" t="s">
        <v>1814</v>
      </c>
      <c r="AD338" s="153" t="str">
        <f t="shared" si="62"/>
        <v>Sunn_hemp</v>
      </c>
      <c r="AE338" s="26" t="s">
        <v>441</v>
      </c>
      <c r="AM338" s="26" t="s">
        <v>428</v>
      </c>
      <c r="AN338" s="26" t="s">
        <v>428</v>
      </c>
      <c r="AO338" s="26" t="s">
        <v>230</v>
      </c>
      <c r="AP338" s="26" t="s">
        <v>208</v>
      </c>
      <c r="AQ338" s="26">
        <v>4</v>
      </c>
      <c r="AR338" s="26">
        <v>4</v>
      </c>
      <c r="AS338" s="26" t="s">
        <v>177</v>
      </c>
      <c r="AW338" s="63"/>
      <c r="DP338" s="26">
        <v>0.18</v>
      </c>
      <c r="DQ338" s="26">
        <v>0.09</v>
      </c>
      <c r="DR338" s="26" t="s">
        <v>433</v>
      </c>
      <c r="DS338" s="12"/>
      <c r="DU338" s="15"/>
      <c r="FA338" s="26" t="s">
        <v>440</v>
      </c>
      <c r="FB338" s="26" t="s">
        <v>851</v>
      </c>
      <c r="FC338" s="26">
        <v>21</v>
      </c>
    </row>
    <row r="339" spans="1:159" s="26" customFormat="1" x14ac:dyDescent="0.25">
      <c r="A339" s="26">
        <v>21</v>
      </c>
      <c r="B339" s="26" t="s">
        <v>425</v>
      </c>
      <c r="C339" s="26" t="s">
        <v>426</v>
      </c>
      <c r="D339" s="26">
        <v>2013</v>
      </c>
      <c r="E339" s="26">
        <v>2010</v>
      </c>
      <c r="F339" s="26" t="s">
        <v>427</v>
      </c>
      <c r="G339" s="26" t="s">
        <v>430</v>
      </c>
      <c r="H339" s="26">
        <v>38.92</v>
      </c>
      <c r="I339" s="26">
        <v>-76.150000000000006</v>
      </c>
      <c r="J339" s="26">
        <v>4.8</v>
      </c>
      <c r="P339" s="52" t="s">
        <v>180</v>
      </c>
      <c r="Q339" s="52"/>
      <c r="R339" s="52" t="s">
        <v>436</v>
      </c>
      <c r="S339" s="52" t="s">
        <v>1644</v>
      </c>
      <c r="T339" s="52" t="s">
        <v>1644</v>
      </c>
      <c r="AC339" s="26" t="s">
        <v>1814</v>
      </c>
      <c r="AD339" s="153" t="str">
        <f t="shared" si="62"/>
        <v>Sunn_hemp</v>
      </c>
      <c r="AE339" s="26" t="s">
        <v>441</v>
      </c>
      <c r="AM339" s="26" t="s">
        <v>428</v>
      </c>
      <c r="AN339" s="26" t="s">
        <v>428</v>
      </c>
      <c r="AO339" s="26" t="s">
        <v>230</v>
      </c>
      <c r="AP339" s="26" t="s">
        <v>208</v>
      </c>
      <c r="AQ339" s="26">
        <v>4</v>
      </c>
      <c r="AR339" s="26">
        <v>4</v>
      </c>
      <c r="AS339" s="26" t="s">
        <v>177</v>
      </c>
      <c r="AW339" s="63"/>
      <c r="DP339" s="26">
        <v>1.83</v>
      </c>
      <c r="DQ339" s="26">
        <v>1.06</v>
      </c>
      <c r="DR339" s="26" t="s">
        <v>433</v>
      </c>
      <c r="DS339" s="12"/>
      <c r="DU339" s="15"/>
      <c r="FA339" s="26" t="s">
        <v>440</v>
      </c>
      <c r="FB339" s="26" t="s">
        <v>851</v>
      </c>
      <c r="FC339" s="26">
        <v>21</v>
      </c>
    </row>
    <row r="340" spans="1:159" s="26" customFormat="1" x14ac:dyDescent="0.25">
      <c r="A340" s="26">
        <v>21</v>
      </c>
      <c r="B340" s="26" t="s">
        <v>425</v>
      </c>
      <c r="C340" s="26" t="s">
        <v>426</v>
      </c>
      <c r="D340" s="26">
        <v>2013</v>
      </c>
      <c r="E340" s="26">
        <v>2010</v>
      </c>
      <c r="F340" s="26" t="s">
        <v>427</v>
      </c>
      <c r="G340" s="26" t="s">
        <v>430</v>
      </c>
      <c r="H340" s="26">
        <v>38.92</v>
      </c>
      <c r="I340" s="26">
        <v>-76.150000000000006</v>
      </c>
      <c r="J340" s="26">
        <v>4.8</v>
      </c>
      <c r="P340" s="52" t="s">
        <v>180</v>
      </c>
      <c r="Q340" s="52"/>
      <c r="R340" s="52" t="s">
        <v>437</v>
      </c>
      <c r="S340" s="52" t="s">
        <v>1644</v>
      </c>
      <c r="T340" s="52" t="s">
        <v>1644</v>
      </c>
      <c r="AC340" s="26" t="s">
        <v>1814</v>
      </c>
      <c r="AD340" s="153" t="str">
        <f t="shared" si="62"/>
        <v>Sunn_hemp</v>
      </c>
      <c r="AE340" s="26" t="s">
        <v>441</v>
      </c>
      <c r="AM340" s="26" t="s">
        <v>428</v>
      </c>
      <c r="AN340" s="26" t="s">
        <v>428</v>
      </c>
      <c r="AO340" s="26" t="s">
        <v>230</v>
      </c>
      <c r="AP340" s="26" t="s">
        <v>208</v>
      </c>
      <c r="AQ340" s="26">
        <v>4</v>
      </c>
      <c r="AR340" s="26">
        <v>4</v>
      </c>
      <c r="AS340" s="26" t="s">
        <v>177</v>
      </c>
      <c r="AW340" s="63"/>
      <c r="DP340" s="26">
        <v>2.71</v>
      </c>
      <c r="DQ340" s="26">
        <v>3.39</v>
      </c>
      <c r="DR340" s="26" t="s">
        <v>433</v>
      </c>
      <c r="DS340" s="12"/>
      <c r="DU340" s="15"/>
      <c r="FA340" s="26" t="s">
        <v>440</v>
      </c>
      <c r="FB340" s="26" t="s">
        <v>851</v>
      </c>
      <c r="FC340" s="26">
        <v>21</v>
      </c>
    </row>
    <row r="341" spans="1:159" s="26" customFormat="1" x14ac:dyDescent="0.25">
      <c r="A341" s="26">
        <v>21</v>
      </c>
      <c r="B341" s="26" t="s">
        <v>425</v>
      </c>
      <c r="C341" s="26" t="s">
        <v>426</v>
      </c>
      <c r="D341" s="26">
        <v>2013</v>
      </c>
      <c r="E341" s="26">
        <v>2010</v>
      </c>
      <c r="F341" s="26" t="s">
        <v>427</v>
      </c>
      <c r="G341" s="26" t="s">
        <v>430</v>
      </c>
      <c r="H341" s="26">
        <v>38.92</v>
      </c>
      <c r="I341" s="26">
        <v>-76.150000000000006</v>
      </c>
      <c r="J341" s="26">
        <v>4.8</v>
      </c>
      <c r="P341" s="52" t="s">
        <v>180</v>
      </c>
      <c r="Q341" s="52"/>
      <c r="R341" s="52" t="s">
        <v>438</v>
      </c>
      <c r="S341" s="52" t="s">
        <v>1644</v>
      </c>
      <c r="T341" s="52" t="s">
        <v>1644</v>
      </c>
      <c r="AC341" s="26" t="s">
        <v>1814</v>
      </c>
      <c r="AD341" s="153" t="str">
        <f t="shared" si="62"/>
        <v>Sunn_hemp</v>
      </c>
      <c r="AE341" s="26" t="s">
        <v>441</v>
      </c>
      <c r="AM341" s="26" t="s">
        <v>428</v>
      </c>
      <c r="AN341" s="26" t="s">
        <v>428</v>
      </c>
      <c r="AO341" s="26" t="s">
        <v>230</v>
      </c>
      <c r="AP341" s="26" t="s">
        <v>208</v>
      </c>
      <c r="AQ341" s="26">
        <v>4</v>
      </c>
      <c r="AR341" s="26">
        <v>4</v>
      </c>
      <c r="AS341" s="26" t="s">
        <v>177</v>
      </c>
      <c r="AW341" s="63"/>
      <c r="DP341" s="26">
        <v>2.75</v>
      </c>
      <c r="DQ341" s="26">
        <v>1.65</v>
      </c>
      <c r="DR341" s="26" t="s">
        <v>433</v>
      </c>
      <c r="DS341" s="12"/>
      <c r="DU341" s="15"/>
      <c r="FA341" s="26" t="s">
        <v>440</v>
      </c>
      <c r="FB341" s="26" t="s">
        <v>851</v>
      </c>
      <c r="FC341" s="26">
        <v>21</v>
      </c>
    </row>
    <row r="342" spans="1:159" s="26" customFormat="1" x14ac:dyDescent="0.25">
      <c r="A342" s="26">
        <v>21</v>
      </c>
      <c r="B342" s="26" t="s">
        <v>425</v>
      </c>
      <c r="C342" s="26" t="s">
        <v>426</v>
      </c>
      <c r="D342" s="26">
        <v>2013</v>
      </c>
      <c r="E342" s="26">
        <v>2010</v>
      </c>
      <c r="F342" s="26" t="s">
        <v>427</v>
      </c>
      <c r="G342" s="26" t="s">
        <v>430</v>
      </c>
      <c r="H342" s="26">
        <v>38.92</v>
      </c>
      <c r="I342" s="26">
        <v>-76.150000000000006</v>
      </c>
      <c r="J342" s="26">
        <v>4.8</v>
      </c>
      <c r="P342" s="52" t="s">
        <v>180</v>
      </c>
      <c r="Q342" s="52"/>
      <c r="R342" s="52" t="s">
        <v>439</v>
      </c>
      <c r="S342" s="52" t="s">
        <v>1644</v>
      </c>
      <c r="T342" s="52" t="s">
        <v>1644</v>
      </c>
      <c r="AC342" s="26" t="s">
        <v>1814</v>
      </c>
      <c r="AD342" s="153" t="str">
        <f t="shared" si="62"/>
        <v>Sunn_hemp</v>
      </c>
      <c r="AE342" s="26" t="s">
        <v>441</v>
      </c>
      <c r="AM342" s="26" t="s">
        <v>428</v>
      </c>
      <c r="AN342" s="26" t="s">
        <v>428</v>
      </c>
      <c r="AO342" s="26" t="s">
        <v>230</v>
      </c>
      <c r="AP342" s="26" t="s">
        <v>208</v>
      </c>
      <c r="AQ342" s="26">
        <v>4</v>
      </c>
      <c r="AR342" s="26">
        <v>4</v>
      </c>
      <c r="AS342" s="26" t="s">
        <v>177</v>
      </c>
      <c r="AW342" s="63"/>
      <c r="DP342" s="26">
        <v>1.19</v>
      </c>
      <c r="DQ342" s="26">
        <v>0.5</v>
      </c>
      <c r="DR342" s="26" t="s">
        <v>433</v>
      </c>
      <c r="DS342" s="12"/>
      <c r="DU342" s="15"/>
      <c r="FA342" s="26" t="s">
        <v>440</v>
      </c>
      <c r="FB342" s="26" t="s">
        <v>851</v>
      </c>
      <c r="FC342" s="26">
        <v>21</v>
      </c>
    </row>
    <row r="343" spans="1:159" s="42" customFormat="1" x14ac:dyDescent="0.25">
      <c r="A343" s="42">
        <v>21</v>
      </c>
      <c r="B343" s="42" t="s">
        <v>425</v>
      </c>
      <c r="C343" s="42" t="s">
        <v>426</v>
      </c>
      <c r="D343" s="42">
        <v>2013</v>
      </c>
      <c r="E343" s="42">
        <v>2009</v>
      </c>
      <c r="F343" s="42" t="s">
        <v>427</v>
      </c>
      <c r="G343" s="42" t="s">
        <v>429</v>
      </c>
      <c r="H343" s="42">
        <v>38.82</v>
      </c>
      <c r="I343" s="42">
        <v>-76.75</v>
      </c>
      <c r="J343" s="42">
        <v>5.5</v>
      </c>
      <c r="P343" s="59" t="s">
        <v>179</v>
      </c>
      <c r="Q343" s="59"/>
      <c r="R343" s="59" t="s">
        <v>434</v>
      </c>
      <c r="S343" s="59" t="s">
        <v>1644</v>
      </c>
      <c r="T343" s="59" t="s">
        <v>1644</v>
      </c>
      <c r="AC343" s="42" t="s">
        <v>1814</v>
      </c>
      <c r="AD343" s="153" t="str">
        <f t="shared" si="62"/>
        <v>Sunn_hemp</v>
      </c>
      <c r="AE343" s="42" t="s">
        <v>441</v>
      </c>
      <c r="AM343" s="42" t="s">
        <v>428</v>
      </c>
      <c r="AN343" s="42" t="s">
        <v>428</v>
      </c>
      <c r="AO343" s="42" t="s">
        <v>230</v>
      </c>
      <c r="AP343" s="42" t="s">
        <v>208</v>
      </c>
      <c r="AQ343" s="42">
        <v>4</v>
      </c>
      <c r="AR343" s="42">
        <v>4</v>
      </c>
      <c r="AS343" s="42" t="s">
        <v>177</v>
      </c>
      <c r="AW343" s="63"/>
      <c r="DP343" s="42">
        <v>0.25</v>
      </c>
      <c r="DQ343" s="42">
        <v>0.25</v>
      </c>
      <c r="DR343" s="42" t="s">
        <v>433</v>
      </c>
      <c r="DS343" s="12"/>
      <c r="DU343" s="15"/>
      <c r="FA343" s="42" t="s">
        <v>440</v>
      </c>
      <c r="FB343" s="42" t="s">
        <v>851</v>
      </c>
      <c r="FC343" s="42">
        <v>21</v>
      </c>
    </row>
    <row r="344" spans="1:159" s="42" customFormat="1" x14ac:dyDescent="0.25">
      <c r="A344" s="42">
        <v>21</v>
      </c>
      <c r="B344" s="42" t="s">
        <v>425</v>
      </c>
      <c r="C344" s="42" t="s">
        <v>426</v>
      </c>
      <c r="D344" s="42">
        <v>2013</v>
      </c>
      <c r="E344" s="42">
        <v>2009</v>
      </c>
      <c r="F344" s="42" t="s">
        <v>427</v>
      </c>
      <c r="G344" s="42" t="s">
        <v>429</v>
      </c>
      <c r="H344" s="42">
        <v>38.82</v>
      </c>
      <c r="I344" s="42">
        <v>-76.75</v>
      </c>
      <c r="J344" s="42">
        <v>5.5</v>
      </c>
      <c r="P344" s="59" t="s">
        <v>179</v>
      </c>
      <c r="Q344" s="59"/>
      <c r="R344" s="59" t="s">
        <v>435</v>
      </c>
      <c r="S344" s="59" t="s">
        <v>1644</v>
      </c>
      <c r="T344" s="59" t="s">
        <v>1644</v>
      </c>
      <c r="AC344" s="42" t="s">
        <v>1814</v>
      </c>
      <c r="AD344" s="153" t="str">
        <f t="shared" si="62"/>
        <v>Sunn_hemp</v>
      </c>
      <c r="AE344" s="42" t="s">
        <v>441</v>
      </c>
      <c r="AM344" s="42" t="s">
        <v>428</v>
      </c>
      <c r="AN344" s="42" t="s">
        <v>428</v>
      </c>
      <c r="AO344" s="42" t="s">
        <v>230</v>
      </c>
      <c r="AP344" s="42" t="s">
        <v>208</v>
      </c>
      <c r="AQ344" s="42">
        <v>4</v>
      </c>
      <c r="AR344" s="42">
        <v>4</v>
      </c>
      <c r="AS344" s="42" t="s">
        <v>177</v>
      </c>
      <c r="AW344" s="63"/>
      <c r="DP344" s="42">
        <v>0.65</v>
      </c>
      <c r="DQ344" s="42">
        <v>0.4</v>
      </c>
      <c r="DR344" s="42" t="s">
        <v>433</v>
      </c>
      <c r="DS344" s="12"/>
      <c r="DU344" s="15"/>
      <c r="FA344" s="42" t="s">
        <v>440</v>
      </c>
      <c r="FB344" s="42" t="s">
        <v>851</v>
      </c>
      <c r="FC344" s="42">
        <v>21</v>
      </c>
    </row>
    <row r="345" spans="1:159" s="42" customFormat="1" x14ac:dyDescent="0.25">
      <c r="A345" s="42">
        <v>21</v>
      </c>
      <c r="B345" s="42" t="s">
        <v>425</v>
      </c>
      <c r="C345" s="42" t="s">
        <v>426</v>
      </c>
      <c r="D345" s="42">
        <v>2013</v>
      </c>
      <c r="E345" s="42">
        <v>2009</v>
      </c>
      <c r="F345" s="42" t="s">
        <v>427</v>
      </c>
      <c r="G345" s="42" t="s">
        <v>429</v>
      </c>
      <c r="H345" s="42">
        <v>38.82</v>
      </c>
      <c r="I345" s="42">
        <v>-76.75</v>
      </c>
      <c r="J345" s="42">
        <v>5.5</v>
      </c>
      <c r="P345" s="59" t="s">
        <v>179</v>
      </c>
      <c r="Q345" s="59"/>
      <c r="R345" s="59" t="s">
        <v>436</v>
      </c>
      <c r="S345" s="59" t="s">
        <v>1644</v>
      </c>
      <c r="T345" s="59" t="s">
        <v>1644</v>
      </c>
      <c r="AC345" s="42" t="s">
        <v>1814</v>
      </c>
      <c r="AD345" s="153" t="str">
        <f t="shared" si="62"/>
        <v>Sunn_hemp</v>
      </c>
      <c r="AE345" s="42" t="s">
        <v>441</v>
      </c>
      <c r="AM345" s="42" t="s">
        <v>428</v>
      </c>
      <c r="AN345" s="42" t="s">
        <v>428</v>
      </c>
      <c r="AO345" s="42" t="s">
        <v>230</v>
      </c>
      <c r="AP345" s="42" t="s">
        <v>208</v>
      </c>
      <c r="AQ345" s="42">
        <v>4</v>
      </c>
      <c r="AR345" s="42">
        <v>4</v>
      </c>
      <c r="AS345" s="42" t="s">
        <v>177</v>
      </c>
      <c r="AW345" s="63"/>
      <c r="DP345" s="42">
        <v>4.32</v>
      </c>
      <c r="DQ345" s="42">
        <v>4.32</v>
      </c>
      <c r="DR345" s="42" t="s">
        <v>433</v>
      </c>
      <c r="DS345" s="12"/>
      <c r="DU345" s="15"/>
      <c r="FA345" s="42" t="s">
        <v>440</v>
      </c>
      <c r="FB345" s="42" t="s">
        <v>851</v>
      </c>
      <c r="FC345" s="42">
        <v>21</v>
      </c>
    </row>
    <row r="346" spans="1:159" s="42" customFormat="1" x14ac:dyDescent="0.25">
      <c r="A346" s="42">
        <v>21</v>
      </c>
      <c r="B346" s="42" t="s">
        <v>425</v>
      </c>
      <c r="C346" s="42" t="s">
        <v>426</v>
      </c>
      <c r="D346" s="42">
        <v>2013</v>
      </c>
      <c r="E346" s="42">
        <v>2009</v>
      </c>
      <c r="F346" s="42" t="s">
        <v>427</v>
      </c>
      <c r="G346" s="42" t="s">
        <v>429</v>
      </c>
      <c r="H346" s="42">
        <v>38.82</v>
      </c>
      <c r="I346" s="42">
        <v>-76.75</v>
      </c>
      <c r="J346" s="42">
        <v>5.5</v>
      </c>
      <c r="P346" s="59" t="s">
        <v>179</v>
      </c>
      <c r="Q346" s="59"/>
      <c r="R346" s="59" t="s">
        <v>437</v>
      </c>
      <c r="S346" s="59" t="s">
        <v>1644</v>
      </c>
      <c r="T346" s="59" t="s">
        <v>1644</v>
      </c>
      <c r="AC346" s="42" t="s">
        <v>1814</v>
      </c>
      <c r="AD346" s="153" t="str">
        <f t="shared" si="62"/>
        <v>Sunn_hemp</v>
      </c>
      <c r="AE346" s="42" t="s">
        <v>441</v>
      </c>
      <c r="AM346" s="42" t="s">
        <v>428</v>
      </c>
      <c r="AN346" s="42" t="s">
        <v>428</v>
      </c>
      <c r="AO346" s="42" t="s">
        <v>230</v>
      </c>
      <c r="AP346" s="42" t="s">
        <v>208</v>
      </c>
      <c r="AQ346" s="42">
        <v>4</v>
      </c>
      <c r="AR346" s="42">
        <v>4</v>
      </c>
      <c r="AS346" s="42" t="s">
        <v>177</v>
      </c>
      <c r="AW346" s="63"/>
      <c r="DP346" s="42">
        <v>5.68</v>
      </c>
      <c r="DQ346" s="42">
        <v>2.56</v>
      </c>
      <c r="DR346" s="42" t="s">
        <v>433</v>
      </c>
      <c r="DS346" s="12"/>
      <c r="DU346" s="15"/>
      <c r="FA346" s="42" t="s">
        <v>440</v>
      </c>
      <c r="FB346" s="42" t="s">
        <v>851</v>
      </c>
      <c r="FC346" s="42">
        <v>21</v>
      </c>
    </row>
    <row r="347" spans="1:159" s="42" customFormat="1" x14ac:dyDescent="0.25">
      <c r="A347" s="42">
        <v>21</v>
      </c>
      <c r="B347" s="42" t="s">
        <v>425</v>
      </c>
      <c r="C347" s="42" t="s">
        <v>426</v>
      </c>
      <c r="D347" s="42">
        <v>2013</v>
      </c>
      <c r="E347" s="42">
        <v>2009</v>
      </c>
      <c r="F347" s="42" t="s">
        <v>427</v>
      </c>
      <c r="G347" s="42" t="s">
        <v>429</v>
      </c>
      <c r="H347" s="42">
        <v>38.82</v>
      </c>
      <c r="I347" s="42">
        <v>-76.75</v>
      </c>
      <c r="J347" s="42">
        <v>5.5</v>
      </c>
      <c r="P347" s="59" t="s">
        <v>179</v>
      </c>
      <c r="Q347" s="59"/>
      <c r="R347" s="59" t="s">
        <v>438</v>
      </c>
      <c r="S347" s="59" t="s">
        <v>1644</v>
      </c>
      <c r="T347" s="59" t="s">
        <v>1644</v>
      </c>
      <c r="AC347" s="42" t="s">
        <v>1814</v>
      </c>
      <c r="AD347" s="153" t="str">
        <f t="shared" si="62"/>
        <v>Sunn_hemp</v>
      </c>
      <c r="AE347" s="42" t="s">
        <v>441</v>
      </c>
      <c r="AM347" s="42" t="s">
        <v>428</v>
      </c>
      <c r="AN347" s="42" t="s">
        <v>428</v>
      </c>
      <c r="AO347" s="42" t="s">
        <v>230</v>
      </c>
      <c r="AP347" s="42" t="s">
        <v>208</v>
      </c>
      <c r="AQ347" s="42">
        <v>4</v>
      </c>
      <c r="AR347" s="42">
        <v>4</v>
      </c>
      <c r="AS347" s="42" t="s">
        <v>177</v>
      </c>
      <c r="AW347" s="63"/>
      <c r="DP347" s="42">
        <v>3.47</v>
      </c>
      <c r="DQ347" s="42">
        <v>0.8</v>
      </c>
      <c r="DR347" s="42" t="s">
        <v>433</v>
      </c>
      <c r="DS347" s="12"/>
      <c r="DU347" s="15"/>
      <c r="FA347" s="42" t="s">
        <v>440</v>
      </c>
      <c r="FB347" s="42" t="s">
        <v>851</v>
      </c>
      <c r="FC347" s="42">
        <v>21</v>
      </c>
    </row>
    <row r="348" spans="1:159" s="26" customFormat="1" x14ac:dyDescent="0.25">
      <c r="A348" s="26">
        <v>21</v>
      </c>
      <c r="B348" s="26" t="s">
        <v>425</v>
      </c>
      <c r="C348" s="26" t="s">
        <v>426</v>
      </c>
      <c r="D348" s="26">
        <v>2013</v>
      </c>
      <c r="E348" s="26">
        <v>2010</v>
      </c>
      <c r="F348" s="26" t="s">
        <v>427</v>
      </c>
      <c r="G348" s="26" t="s">
        <v>429</v>
      </c>
      <c r="H348" s="26">
        <v>38.82</v>
      </c>
      <c r="I348" s="26">
        <v>-76.75</v>
      </c>
      <c r="J348" s="26">
        <v>5.5</v>
      </c>
      <c r="P348" s="52" t="s">
        <v>180</v>
      </c>
      <c r="Q348" s="52"/>
      <c r="R348" s="52" t="s">
        <v>434</v>
      </c>
      <c r="S348" s="52" t="s">
        <v>1644</v>
      </c>
      <c r="T348" s="52" t="s">
        <v>1644</v>
      </c>
      <c r="AC348" s="26" t="s">
        <v>1814</v>
      </c>
      <c r="AD348" s="153" t="str">
        <f t="shared" si="62"/>
        <v>Sunn_hemp</v>
      </c>
      <c r="AE348" s="26" t="s">
        <v>441</v>
      </c>
      <c r="AM348" s="26" t="s">
        <v>428</v>
      </c>
      <c r="AN348" s="26" t="s">
        <v>428</v>
      </c>
      <c r="AO348" s="26" t="s">
        <v>230</v>
      </c>
      <c r="AP348" s="26" t="s">
        <v>208</v>
      </c>
      <c r="AQ348" s="26">
        <v>4</v>
      </c>
      <c r="AR348" s="26">
        <v>4</v>
      </c>
      <c r="AS348" s="26" t="s">
        <v>177</v>
      </c>
      <c r="AW348" s="63"/>
      <c r="DP348" s="26">
        <v>0.01</v>
      </c>
      <c r="DQ348" s="26">
        <v>0.01</v>
      </c>
      <c r="DR348" s="26" t="s">
        <v>433</v>
      </c>
      <c r="DS348" s="12"/>
      <c r="DU348" s="15"/>
      <c r="FA348" s="26" t="s">
        <v>440</v>
      </c>
      <c r="FB348" s="26" t="s">
        <v>851</v>
      </c>
      <c r="FC348" s="26">
        <v>21</v>
      </c>
    </row>
    <row r="349" spans="1:159" s="26" customFormat="1" x14ac:dyDescent="0.25">
      <c r="A349" s="26">
        <v>21</v>
      </c>
      <c r="B349" s="26" t="s">
        <v>425</v>
      </c>
      <c r="C349" s="26" t="s">
        <v>426</v>
      </c>
      <c r="D349" s="26">
        <v>2013</v>
      </c>
      <c r="E349" s="26">
        <v>2010</v>
      </c>
      <c r="F349" s="26" t="s">
        <v>427</v>
      </c>
      <c r="G349" s="26" t="s">
        <v>429</v>
      </c>
      <c r="H349" s="26">
        <v>38.82</v>
      </c>
      <c r="I349" s="26">
        <v>-76.75</v>
      </c>
      <c r="J349" s="26">
        <v>5.5</v>
      </c>
      <c r="P349" s="52" t="s">
        <v>180</v>
      </c>
      <c r="Q349" s="52"/>
      <c r="R349" s="52" t="s">
        <v>435</v>
      </c>
      <c r="S349" s="52" t="s">
        <v>1644</v>
      </c>
      <c r="T349" s="52" t="s">
        <v>1644</v>
      </c>
      <c r="AC349" s="26" t="s">
        <v>1814</v>
      </c>
      <c r="AD349" s="153" t="str">
        <f t="shared" si="62"/>
        <v>Sunn_hemp</v>
      </c>
      <c r="AE349" s="26" t="s">
        <v>441</v>
      </c>
      <c r="AM349" s="26" t="s">
        <v>428</v>
      </c>
      <c r="AN349" s="26" t="s">
        <v>428</v>
      </c>
      <c r="AO349" s="26" t="s">
        <v>230</v>
      </c>
      <c r="AP349" s="26" t="s">
        <v>208</v>
      </c>
      <c r="AQ349" s="26">
        <v>4</v>
      </c>
      <c r="AR349" s="26">
        <v>4</v>
      </c>
      <c r="AS349" s="26" t="s">
        <v>177</v>
      </c>
      <c r="AW349" s="63"/>
      <c r="DP349" s="26">
        <v>0.14000000000000001</v>
      </c>
      <c r="DQ349" s="26">
        <v>0.09</v>
      </c>
      <c r="DR349" s="26" t="s">
        <v>433</v>
      </c>
      <c r="DS349" s="12"/>
      <c r="DU349" s="15"/>
      <c r="FA349" s="26" t="s">
        <v>440</v>
      </c>
      <c r="FB349" s="26" t="s">
        <v>851</v>
      </c>
      <c r="FC349" s="26">
        <v>21</v>
      </c>
    </row>
    <row r="350" spans="1:159" s="26" customFormat="1" x14ac:dyDescent="0.25">
      <c r="A350" s="26">
        <v>21</v>
      </c>
      <c r="B350" s="26" t="s">
        <v>425</v>
      </c>
      <c r="C350" s="26" t="s">
        <v>426</v>
      </c>
      <c r="D350" s="26">
        <v>2013</v>
      </c>
      <c r="E350" s="26">
        <v>2010</v>
      </c>
      <c r="F350" s="26" t="s">
        <v>427</v>
      </c>
      <c r="G350" s="26" t="s">
        <v>429</v>
      </c>
      <c r="H350" s="26">
        <v>38.82</v>
      </c>
      <c r="I350" s="26">
        <v>-76.75</v>
      </c>
      <c r="J350" s="26">
        <v>5.5</v>
      </c>
      <c r="P350" s="52" t="s">
        <v>180</v>
      </c>
      <c r="Q350" s="52"/>
      <c r="R350" s="52" t="s">
        <v>436</v>
      </c>
      <c r="S350" s="52" t="s">
        <v>1644</v>
      </c>
      <c r="T350" s="52" t="s">
        <v>1644</v>
      </c>
      <c r="AC350" s="26" t="s">
        <v>1814</v>
      </c>
      <c r="AD350" s="153" t="str">
        <f t="shared" si="62"/>
        <v>Sunn_hemp</v>
      </c>
      <c r="AE350" s="26" t="s">
        <v>441</v>
      </c>
      <c r="AM350" s="26" t="s">
        <v>428</v>
      </c>
      <c r="AN350" s="26" t="s">
        <v>428</v>
      </c>
      <c r="AO350" s="26" t="s">
        <v>230</v>
      </c>
      <c r="AP350" s="26" t="s">
        <v>208</v>
      </c>
      <c r="AQ350" s="26">
        <v>4</v>
      </c>
      <c r="AR350" s="26">
        <v>4</v>
      </c>
      <c r="AS350" s="26" t="s">
        <v>177</v>
      </c>
      <c r="AW350" s="63"/>
      <c r="DP350" s="26">
        <v>4.29</v>
      </c>
      <c r="DQ350" s="26">
        <v>1.37</v>
      </c>
      <c r="DR350" s="26" t="s">
        <v>433</v>
      </c>
      <c r="DS350" s="12"/>
      <c r="DU350" s="15"/>
      <c r="FA350" s="26" t="s">
        <v>440</v>
      </c>
      <c r="FB350" s="26" t="s">
        <v>851</v>
      </c>
      <c r="FC350" s="26">
        <v>21</v>
      </c>
    </row>
    <row r="351" spans="1:159" s="26" customFormat="1" x14ac:dyDescent="0.25">
      <c r="A351" s="26">
        <v>21</v>
      </c>
      <c r="B351" s="26" t="s">
        <v>425</v>
      </c>
      <c r="C351" s="26" t="s">
        <v>426</v>
      </c>
      <c r="D351" s="26">
        <v>2013</v>
      </c>
      <c r="E351" s="26">
        <v>2010</v>
      </c>
      <c r="F351" s="26" t="s">
        <v>427</v>
      </c>
      <c r="G351" s="26" t="s">
        <v>429</v>
      </c>
      <c r="H351" s="26">
        <v>38.82</v>
      </c>
      <c r="I351" s="26">
        <v>-76.75</v>
      </c>
      <c r="J351" s="26">
        <v>5.5</v>
      </c>
      <c r="P351" s="52" t="s">
        <v>180</v>
      </c>
      <c r="Q351" s="52"/>
      <c r="R351" s="52" t="s">
        <v>437</v>
      </c>
      <c r="S351" s="52" t="s">
        <v>1644</v>
      </c>
      <c r="T351" s="52" t="s">
        <v>1644</v>
      </c>
      <c r="AC351" s="26" t="s">
        <v>1814</v>
      </c>
      <c r="AD351" s="153" t="str">
        <f t="shared" si="62"/>
        <v>Sunn_hemp</v>
      </c>
      <c r="AE351" s="26" t="s">
        <v>441</v>
      </c>
      <c r="AM351" s="26" t="s">
        <v>428</v>
      </c>
      <c r="AN351" s="26" t="s">
        <v>428</v>
      </c>
      <c r="AO351" s="26" t="s">
        <v>230</v>
      </c>
      <c r="AP351" s="26" t="s">
        <v>208</v>
      </c>
      <c r="AQ351" s="26">
        <v>4</v>
      </c>
      <c r="AR351" s="26">
        <v>4</v>
      </c>
      <c r="AS351" s="26" t="s">
        <v>177</v>
      </c>
      <c r="AW351" s="63"/>
      <c r="DP351" s="26">
        <v>1.28</v>
      </c>
      <c r="DQ351" s="26">
        <v>0.27</v>
      </c>
      <c r="DR351" s="26" t="s">
        <v>433</v>
      </c>
      <c r="DS351" s="12"/>
      <c r="DU351" s="15"/>
      <c r="FA351" s="26" t="s">
        <v>440</v>
      </c>
      <c r="FB351" s="26" t="s">
        <v>851</v>
      </c>
      <c r="FC351" s="26">
        <v>21</v>
      </c>
    </row>
    <row r="352" spans="1:159" s="26" customFormat="1" x14ac:dyDescent="0.25">
      <c r="A352" s="26">
        <v>21</v>
      </c>
      <c r="B352" s="26" t="s">
        <v>425</v>
      </c>
      <c r="C352" s="26" t="s">
        <v>426</v>
      </c>
      <c r="D352" s="26">
        <v>2013</v>
      </c>
      <c r="E352" s="26">
        <v>2010</v>
      </c>
      <c r="F352" s="26" t="s">
        <v>427</v>
      </c>
      <c r="G352" s="26" t="s">
        <v>429</v>
      </c>
      <c r="H352" s="26">
        <v>38.82</v>
      </c>
      <c r="I352" s="26">
        <v>-76.75</v>
      </c>
      <c r="J352" s="26">
        <v>5.5</v>
      </c>
      <c r="P352" s="52" t="s">
        <v>180</v>
      </c>
      <c r="Q352" s="52"/>
      <c r="R352" s="52" t="s">
        <v>438</v>
      </c>
      <c r="S352" s="52" t="s">
        <v>1644</v>
      </c>
      <c r="T352" s="52" t="s">
        <v>1644</v>
      </c>
      <c r="AC352" s="26" t="s">
        <v>1814</v>
      </c>
      <c r="AD352" s="153" t="str">
        <f t="shared" si="62"/>
        <v>Sunn_hemp</v>
      </c>
      <c r="AE352" s="26" t="s">
        <v>441</v>
      </c>
      <c r="AM352" s="26" t="s">
        <v>428</v>
      </c>
      <c r="AN352" s="26" t="s">
        <v>428</v>
      </c>
      <c r="AO352" s="26" t="s">
        <v>230</v>
      </c>
      <c r="AP352" s="26" t="s">
        <v>208</v>
      </c>
      <c r="AQ352" s="26">
        <v>4</v>
      </c>
      <c r="AR352" s="26">
        <v>4</v>
      </c>
      <c r="AS352" s="26" t="s">
        <v>177</v>
      </c>
      <c r="AW352" s="63"/>
      <c r="DP352" s="26">
        <v>2.19</v>
      </c>
      <c r="DQ352" s="26">
        <v>1.23</v>
      </c>
      <c r="DR352" s="26" t="s">
        <v>433</v>
      </c>
      <c r="DS352" s="12"/>
      <c r="DU352" s="15"/>
      <c r="FA352" s="26" t="s">
        <v>440</v>
      </c>
      <c r="FB352" s="26" t="s">
        <v>851</v>
      </c>
      <c r="FC352" s="26">
        <v>21</v>
      </c>
    </row>
    <row r="353" spans="1:159" s="26" customFormat="1" x14ac:dyDescent="0.25">
      <c r="A353" s="26">
        <v>21</v>
      </c>
      <c r="B353" s="26" t="s">
        <v>425</v>
      </c>
      <c r="C353" s="26" t="s">
        <v>426</v>
      </c>
      <c r="D353" s="26">
        <v>2013</v>
      </c>
      <c r="E353" s="26">
        <v>2010</v>
      </c>
      <c r="F353" s="26" t="s">
        <v>427</v>
      </c>
      <c r="G353" s="26" t="s">
        <v>429</v>
      </c>
      <c r="H353" s="26">
        <v>38.82</v>
      </c>
      <c r="I353" s="26">
        <v>-76.75</v>
      </c>
      <c r="J353" s="26">
        <v>5.5</v>
      </c>
      <c r="P353" s="52" t="s">
        <v>180</v>
      </c>
      <c r="Q353" s="52"/>
      <c r="R353" s="52" t="s">
        <v>439</v>
      </c>
      <c r="S353" s="52" t="s">
        <v>1644</v>
      </c>
      <c r="T353" s="52" t="s">
        <v>1644</v>
      </c>
      <c r="AC353" s="26" t="s">
        <v>1814</v>
      </c>
      <c r="AD353" s="153" t="str">
        <f t="shared" si="62"/>
        <v>Sunn_hemp</v>
      </c>
      <c r="AE353" s="26" t="s">
        <v>441</v>
      </c>
      <c r="AM353" s="26" t="s">
        <v>428</v>
      </c>
      <c r="AN353" s="26" t="s">
        <v>428</v>
      </c>
      <c r="AO353" s="26" t="s">
        <v>230</v>
      </c>
      <c r="AP353" s="26" t="s">
        <v>208</v>
      </c>
      <c r="AQ353" s="26">
        <v>4</v>
      </c>
      <c r="AR353" s="26">
        <v>4</v>
      </c>
      <c r="AS353" s="26" t="s">
        <v>177</v>
      </c>
      <c r="AW353" s="63"/>
      <c r="DP353" s="26">
        <v>0.96</v>
      </c>
      <c r="DQ353" s="26">
        <v>0.09</v>
      </c>
      <c r="DR353" s="26" t="s">
        <v>433</v>
      </c>
      <c r="DS353" s="12"/>
      <c r="DU353" s="15"/>
      <c r="FA353" s="26" t="s">
        <v>440</v>
      </c>
      <c r="FB353" s="26" t="s">
        <v>851</v>
      </c>
      <c r="FC353" s="26">
        <v>21</v>
      </c>
    </row>
    <row r="354" spans="1:159" s="42" customFormat="1" x14ac:dyDescent="0.25">
      <c r="A354" s="42">
        <v>21</v>
      </c>
      <c r="B354" s="42" t="s">
        <v>425</v>
      </c>
      <c r="C354" s="42" t="s">
        <v>426</v>
      </c>
      <c r="D354" s="42">
        <v>2013</v>
      </c>
      <c r="E354" s="42">
        <v>2011</v>
      </c>
      <c r="F354" s="42" t="s">
        <v>427</v>
      </c>
      <c r="G354" s="42" t="s">
        <v>429</v>
      </c>
      <c r="H354" s="42">
        <v>38.82</v>
      </c>
      <c r="I354" s="42">
        <v>-76.75</v>
      </c>
      <c r="J354" s="42">
        <v>5.5</v>
      </c>
      <c r="P354" s="59" t="s">
        <v>181</v>
      </c>
      <c r="Q354" s="59"/>
      <c r="R354" s="59" t="s">
        <v>434</v>
      </c>
      <c r="S354" s="59" t="s">
        <v>1644</v>
      </c>
      <c r="T354" s="59" t="s">
        <v>1644</v>
      </c>
      <c r="AC354" s="42" t="s">
        <v>1814</v>
      </c>
      <c r="AD354" s="153" t="str">
        <f t="shared" si="62"/>
        <v>Sunn_hemp</v>
      </c>
      <c r="AE354" s="42" t="s">
        <v>441</v>
      </c>
      <c r="AM354" s="42" t="s">
        <v>428</v>
      </c>
      <c r="AN354" s="42" t="s">
        <v>428</v>
      </c>
      <c r="AO354" s="42" t="s">
        <v>230</v>
      </c>
      <c r="AP354" s="42" t="s">
        <v>208</v>
      </c>
      <c r="AQ354" s="42">
        <v>4</v>
      </c>
      <c r="AR354" s="42">
        <v>4</v>
      </c>
      <c r="AS354" s="42" t="s">
        <v>177</v>
      </c>
      <c r="AW354" s="63"/>
      <c r="DP354" s="42">
        <v>0.05</v>
      </c>
      <c r="DQ354" s="42">
        <v>0.05</v>
      </c>
      <c r="DR354" s="42" t="s">
        <v>433</v>
      </c>
      <c r="DS354" s="12"/>
      <c r="DU354" s="15"/>
      <c r="FA354" s="42" t="s">
        <v>440</v>
      </c>
      <c r="FB354" s="42" t="s">
        <v>851</v>
      </c>
      <c r="FC354" s="42">
        <v>21</v>
      </c>
    </row>
    <row r="355" spans="1:159" s="42" customFormat="1" x14ac:dyDescent="0.25">
      <c r="A355" s="42">
        <v>21</v>
      </c>
      <c r="B355" s="42" t="s">
        <v>425</v>
      </c>
      <c r="C355" s="42" t="s">
        <v>426</v>
      </c>
      <c r="D355" s="42">
        <v>2013</v>
      </c>
      <c r="E355" s="42">
        <v>2011</v>
      </c>
      <c r="F355" s="42" t="s">
        <v>427</v>
      </c>
      <c r="G355" s="42" t="s">
        <v>429</v>
      </c>
      <c r="H355" s="42">
        <v>38.82</v>
      </c>
      <c r="I355" s="42">
        <v>-76.75</v>
      </c>
      <c r="J355" s="42">
        <v>5.5</v>
      </c>
      <c r="P355" s="59" t="s">
        <v>181</v>
      </c>
      <c r="Q355" s="59"/>
      <c r="R355" s="59" t="s">
        <v>435</v>
      </c>
      <c r="S355" s="59" t="s">
        <v>1644</v>
      </c>
      <c r="T355" s="59" t="s">
        <v>1644</v>
      </c>
      <c r="AC355" s="42" t="s">
        <v>1814</v>
      </c>
      <c r="AD355" s="153" t="str">
        <f t="shared" si="62"/>
        <v>Sunn_hemp</v>
      </c>
      <c r="AE355" s="42" t="s">
        <v>441</v>
      </c>
      <c r="AM355" s="42" t="s">
        <v>428</v>
      </c>
      <c r="AN355" s="42" t="s">
        <v>428</v>
      </c>
      <c r="AO355" s="42" t="s">
        <v>230</v>
      </c>
      <c r="AP355" s="42" t="s">
        <v>208</v>
      </c>
      <c r="AQ355" s="42">
        <v>4</v>
      </c>
      <c r="AR355" s="42">
        <v>4</v>
      </c>
      <c r="AS355" s="42" t="s">
        <v>177</v>
      </c>
      <c r="AW355" s="63"/>
      <c r="DP355" s="42">
        <v>0.09</v>
      </c>
      <c r="DQ355" s="42">
        <v>0.09</v>
      </c>
      <c r="DR355" s="42" t="s">
        <v>433</v>
      </c>
      <c r="DS355" s="12"/>
      <c r="DU355" s="15"/>
      <c r="FA355" s="42" t="s">
        <v>440</v>
      </c>
      <c r="FB355" s="42" t="s">
        <v>851</v>
      </c>
      <c r="FC355" s="42">
        <v>21</v>
      </c>
    </row>
    <row r="356" spans="1:159" s="42" customFormat="1" x14ac:dyDescent="0.25">
      <c r="A356" s="42">
        <v>21</v>
      </c>
      <c r="B356" s="42" t="s">
        <v>425</v>
      </c>
      <c r="C356" s="42" t="s">
        <v>426</v>
      </c>
      <c r="D356" s="42">
        <v>2013</v>
      </c>
      <c r="E356" s="42">
        <v>2011</v>
      </c>
      <c r="F356" s="42" t="s">
        <v>427</v>
      </c>
      <c r="G356" s="42" t="s">
        <v>429</v>
      </c>
      <c r="H356" s="42">
        <v>38.82</v>
      </c>
      <c r="I356" s="42">
        <v>-76.75</v>
      </c>
      <c r="J356" s="42">
        <v>5.5</v>
      </c>
      <c r="P356" s="59" t="s">
        <v>181</v>
      </c>
      <c r="Q356" s="59"/>
      <c r="R356" s="59" t="s">
        <v>436</v>
      </c>
      <c r="S356" s="59" t="s">
        <v>1644</v>
      </c>
      <c r="T356" s="59" t="s">
        <v>1644</v>
      </c>
      <c r="AC356" s="42" t="s">
        <v>1814</v>
      </c>
      <c r="AD356" s="153" t="str">
        <f t="shared" si="62"/>
        <v>Sunn_hemp</v>
      </c>
      <c r="AE356" s="42" t="s">
        <v>441</v>
      </c>
      <c r="AM356" s="42" t="s">
        <v>428</v>
      </c>
      <c r="AN356" s="42" t="s">
        <v>428</v>
      </c>
      <c r="AO356" s="42" t="s">
        <v>230</v>
      </c>
      <c r="AP356" s="42" t="s">
        <v>208</v>
      </c>
      <c r="AQ356" s="42">
        <v>4</v>
      </c>
      <c r="AR356" s="42">
        <v>4</v>
      </c>
      <c r="AS356" s="42" t="s">
        <v>177</v>
      </c>
      <c r="AW356" s="63"/>
      <c r="DP356" s="42">
        <v>0.56000000000000005</v>
      </c>
      <c r="DQ356" s="42">
        <v>0.37</v>
      </c>
      <c r="DR356" s="42" t="s">
        <v>433</v>
      </c>
      <c r="DS356" s="12"/>
      <c r="DU356" s="15"/>
      <c r="FA356" s="42" t="s">
        <v>440</v>
      </c>
      <c r="FB356" s="42" t="s">
        <v>851</v>
      </c>
      <c r="FC356" s="42">
        <v>21</v>
      </c>
    </row>
    <row r="357" spans="1:159" s="42" customFormat="1" x14ac:dyDescent="0.25">
      <c r="A357" s="42">
        <v>21</v>
      </c>
      <c r="B357" s="42" t="s">
        <v>425</v>
      </c>
      <c r="C357" s="42" t="s">
        <v>426</v>
      </c>
      <c r="D357" s="42">
        <v>2013</v>
      </c>
      <c r="E357" s="42">
        <v>2011</v>
      </c>
      <c r="F357" s="42" t="s">
        <v>427</v>
      </c>
      <c r="G357" s="42" t="s">
        <v>429</v>
      </c>
      <c r="H357" s="42">
        <v>38.82</v>
      </c>
      <c r="I357" s="42">
        <v>-76.75</v>
      </c>
      <c r="J357" s="42">
        <v>5.5</v>
      </c>
      <c r="P357" s="59" t="s">
        <v>181</v>
      </c>
      <c r="Q357" s="59"/>
      <c r="R357" s="59" t="s">
        <v>437</v>
      </c>
      <c r="S357" s="59" t="s">
        <v>1644</v>
      </c>
      <c r="T357" s="59" t="s">
        <v>1644</v>
      </c>
      <c r="AC357" s="42" t="s">
        <v>1814</v>
      </c>
      <c r="AD357" s="153" t="str">
        <f t="shared" si="62"/>
        <v>Sunn_hemp</v>
      </c>
      <c r="AE357" s="42" t="s">
        <v>441</v>
      </c>
      <c r="AM357" s="42" t="s">
        <v>428</v>
      </c>
      <c r="AN357" s="42" t="s">
        <v>428</v>
      </c>
      <c r="AO357" s="42" t="s">
        <v>230</v>
      </c>
      <c r="AP357" s="42" t="s">
        <v>208</v>
      </c>
      <c r="AQ357" s="42">
        <v>4</v>
      </c>
      <c r="AR357" s="42">
        <v>4</v>
      </c>
      <c r="AS357" s="42" t="s">
        <v>177</v>
      </c>
      <c r="AW357" s="63"/>
      <c r="DP357" s="42">
        <v>3.43</v>
      </c>
      <c r="DQ357" s="42">
        <v>6.48</v>
      </c>
      <c r="DR357" s="42" t="s">
        <v>433</v>
      </c>
      <c r="DS357" s="12"/>
      <c r="DU357" s="15"/>
      <c r="FA357" s="42" t="s">
        <v>440</v>
      </c>
      <c r="FB357" s="42" t="s">
        <v>851</v>
      </c>
      <c r="FC357" s="42">
        <v>21</v>
      </c>
    </row>
    <row r="358" spans="1:159" s="42" customFormat="1" x14ac:dyDescent="0.25">
      <c r="A358" s="42">
        <v>21</v>
      </c>
      <c r="B358" s="42" t="s">
        <v>425</v>
      </c>
      <c r="C358" s="42" t="s">
        <v>426</v>
      </c>
      <c r="D358" s="42">
        <v>2013</v>
      </c>
      <c r="E358" s="42">
        <v>2011</v>
      </c>
      <c r="F358" s="42" t="s">
        <v>427</v>
      </c>
      <c r="G358" s="42" t="s">
        <v>429</v>
      </c>
      <c r="H358" s="42">
        <v>38.82</v>
      </c>
      <c r="I358" s="42">
        <v>-76.75</v>
      </c>
      <c r="J358" s="42">
        <v>5.5</v>
      </c>
      <c r="P358" s="59" t="s">
        <v>181</v>
      </c>
      <c r="Q358" s="59"/>
      <c r="R358" s="59" t="s">
        <v>438</v>
      </c>
      <c r="S358" s="59" t="s">
        <v>1644</v>
      </c>
      <c r="T358" s="59" t="s">
        <v>1644</v>
      </c>
      <c r="AC358" s="42" t="s">
        <v>1814</v>
      </c>
      <c r="AD358" s="153" t="str">
        <f t="shared" si="62"/>
        <v>Sunn_hemp</v>
      </c>
      <c r="AE358" s="42" t="s">
        <v>441</v>
      </c>
      <c r="AM358" s="42" t="s">
        <v>428</v>
      </c>
      <c r="AN358" s="42" t="s">
        <v>428</v>
      </c>
      <c r="AO358" s="42" t="s">
        <v>230</v>
      </c>
      <c r="AP358" s="42" t="s">
        <v>208</v>
      </c>
      <c r="AQ358" s="42">
        <v>4</v>
      </c>
      <c r="AR358" s="42">
        <v>4</v>
      </c>
      <c r="AS358" s="42" t="s">
        <v>177</v>
      </c>
      <c r="AW358" s="63"/>
      <c r="DP358" s="42">
        <v>6.02</v>
      </c>
      <c r="DQ358" s="42">
        <v>7.96</v>
      </c>
      <c r="DR358" s="42" t="s">
        <v>433</v>
      </c>
      <c r="DS358" s="12"/>
      <c r="DU358" s="15"/>
      <c r="FA358" s="42" t="s">
        <v>440</v>
      </c>
      <c r="FB358" s="42" t="s">
        <v>851</v>
      </c>
      <c r="FC358" s="42">
        <v>21</v>
      </c>
    </row>
    <row r="359" spans="1:159" s="44" customFormat="1" x14ac:dyDescent="0.25">
      <c r="A359" s="44">
        <v>22</v>
      </c>
      <c r="B359" s="44" t="s">
        <v>425</v>
      </c>
      <c r="C359" s="44" t="s">
        <v>426</v>
      </c>
      <c r="D359" s="44">
        <v>2013</v>
      </c>
      <c r="E359" s="44">
        <v>2009</v>
      </c>
      <c r="F359" s="44" t="s">
        <v>474</v>
      </c>
      <c r="G359" s="44" t="s">
        <v>429</v>
      </c>
      <c r="H359" s="44">
        <v>38.82</v>
      </c>
      <c r="I359" s="44">
        <v>-76.75</v>
      </c>
      <c r="J359" s="44">
        <v>5.5</v>
      </c>
      <c r="P359" s="60" t="s">
        <v>179</v>
      </c>
      <c r="Q359" s="60"/>
      <c r="R359" s="60" t="s">
        <v>286</v>
      </c>
      <c r="S359" s="60" t="s">
        <v>1644</v>
      </c>
      <c r="T359" s="60" t="s">
        <v>1644</v>
      </c>
      <c r="AC359" s="44" t="s">
        <v>1814</v>
      </c>
      <c r="AD359" s="153" t="str">
        <f t="shared" si="62"/>
        <v>Sunn_hemp</v>
      </c>
      <c r="AE359" s="44" t="s">
        <v>441</v>
      </c>
      <c r="AM359" s="44" t="s">
        <v>428</v>
      </c>
      <c r="AN359" s="44" t="s">
        <v>428</v>
      </c>
      <c r="AO359" s="44" t="s">
        <v>230</v>
      </c>
      <c r="AP359" s="44" t="s">
        <v>208</v>
      </c>
      <c r="AQ359" s="44">
        <v>4</v>
      </c>
      <c r="AR359" s="44">
        <v>4</v>
      </c>
      <c r="AS359" s="44" t="s">
        <v>177</v>
      </c>
      <c r="AW359" s="65"/>
      <c r="DS359" s="44">
        <v>53</v>
      </c>
      <c r="DT359" s="44">
        <v>41</v>
      </c>
      <c r="DU359" s="44" t="s">
        <v>444</v>
      </c>
      <c r="FA359" s="44" t="s">
        <v>447</v>
      </c>
      <c r="FC359" s="44">
        <v>22</v>
      </c>
    </row>
    <row r="360" spans="1:159" s="44" customFormat="1" x14ac:dyDescent="0.25">
      <c r="A360" s="44">
        <v>22</v>
      </c>
      <c r="B360" s="44" t="s">
        <v>425</v>
      </c>
      <c r="C360" s="44" t="s">
        <v>426</v>
      </c>
      <c r="D360" s="44">
        <v>2013</v>
      </c>
      <c r="E360" s="44">
        <v>2010</v>
      </c>
      <c r="F360" s="44" t="s">
        <v>474</v>
      </c>
      <c r="G360" s="44" t="s">
        <v>429</v>
      </c>
      <c r="H360" s="44">
        <v>38.82</v>
      </c>
      <c r="I360" s="44">
        <v>-76.75</v>
      </c>
      <c r="J360" s="44">
        <v>5.5</v>
      </c>
      <c r="P360" s="60" t="s">
        <v>180</v>
      </c>
      <c r="Q360" s="60"/>
      <c r="R360" s="60" t="s">
        <v>285</v>
      </c>
      <c r="S360" s="60" t="s">
        <v>1644</v>
      </c>
      <c r="T360" s="60" t="s">
        <v>1644</v>
      </c>
      <c r="AC360" s="44" t="s">
        <v>1814</v>
      </c>
      <c r="AD360" s="153" t="str">
        <f t="shared" si="62"/>
        <v>Sunn_hemp</v>
      </c>
      <c r="AE360" s="44" t="s">
        <v>441</v>
      </c>
      <c r="AM360" s="44" t="s">
        <v>442</v>
      </c>
      <c r="AN360" s="44" t="s">
        <v>442</v>
      </c>
      <c r="AO360" s="44" t="s">
        <v>230</v>
      </c>
      <c r="AP360" s="44" t="s">
        <v>208</v>
      </c>
      <c r="AQ360" s="44">
        <v>4</v>
      </c>
      <c r="AR360" s="44">
        <v>4</v>
      </c>
      <c r="AS360" s="44" t="s">
        <v>177</v>
      </c>
      <c r="AW360" s="65"/>
      <c r="DS360" s="44">
        <v>43.2</v>
      </c>
      <c r="DT360" s="44">
        <v>47.9</v>
      </c>
      <c r="DU360" s="44" t="s">
        <v>444</v>
      </c>
      <c r="FA360" s="44" t="s">
        <v>447</v>
      </c>
      <c r="FC360" s="44">
        <v>22</v>
      </c>
    </row>
    <row r="361" spans="1:159" s="44" customFormat="1" x14ac:dyDescent="0.25">
      <c r="A361" s="44">
        <v>22</v>
      </c>
      <c r="B361" s="44" t="s">
        <v>425</v>
      </c>
      <c r="C361" s="44" t="s">
        <v>426</v>
      </c>
      <c r="D361" s="44">
        <v>2013</v>
      </c>
      <c r="E361" s="44">
        <v>2010</v>
      </c>
      <c r="F361" s="44" t="s">
        <v>474</v>
      </c>
      <c r="G361" s="44" t="s">
        <v>429</v>
      </c>
      <c r="H361" s="44">
        <v>38.82</v>
      </c>
      <c r="I361" s="44">
        <v>-76.75</v>
      </c>
      <c r="J361" s="44">
        <v>5.5</v>
      </c>
      <c r="P361" s="60" t="s">
        <v>180</v>
      </c>
      <c r="Q361" s="60"/>
      <c r="R361" s="60" t="s">
        <v>285</v>
      </c>
      <c r="S361" s="60" t="s">
        <v>1644</v>
      </c>
      <c r="T361" s="60" t="s">
        <v>1644</v>
      </c>
      <c r="AC361" s="44" t="s">
        <v>1814</v>
      </c>
      <c r="AD361" s="153" t="str">
        <f t="shared" si="62"/>
        <v>Sunn_hemp</v>
      </c>
      <c r="AE361" s="44" t="s">
        <v>441</v>
      </c>
      <c r="AM361" s="44" t="s">
        <v>443</v>
      </c>
      <c r="AN361" s="44" t="s">
        <v>443</v>
      </c>
      <c r="AO361" s="44" t="s">
        <v>230</v>
      </c>
      <c r="AP361" s="44" t="s">
        <v>208</v>
      </c>
      <c r="AQ361" s="44">
        <v>4</v>
      </c>
      <c r="AR361" s="44">
        <v>4</v>
      </c>
      <c r="AS361" s="44" t="s">
        <v>177</v>
      </c>
      <c r="AW361" s="65"/>
      <c r="DS361" s="44">
        <v>43</v>
      </c>
      <c r="DT361" s="44">
        <v>44.8</v>
      </c>
      <c r="DU361" s="44" t="s">
        <v>444</v>
      </c>
      <c r="FA361" s="44" t="s">
        <v>447</v>
      </c>
      <c r="FC361" s="44">
        <v>22</v>
      </c>
    </row>
    <row r="362" spans="1:159" s="43" customFormat="1" x14ac:dyDescent="0.25">
      <c r="A362" s="43">
        <v>22</v>
      </c>
      <c r="B362" s="43" t="s">
        <v>425</v>
      </c>
      <c r="C362" s="43" t="s">
        <v>426</v>
      </c>
      <c r="D362" s="43">
        <v>2013</v>
      </c>
      <c r="E362" s="43">
        <v>2011</v>
      </c>
      <c r="F362" s="43" t="s">
        <v>474</v>
      </c>
      <c r="G362" s="43" t="s">
        <v>429</v>
      </c>
      <c r="H362" s="43">
        <v>38.82</v>
      </c>
      <c r="I362" s="43">
        <v>-76.75</v>
      </c>
      <c r="J362" s="43">
        <v>5.5</v>
      </c>
      <c r="P362" s="61" t="s">
        <v>181</v>
      </c>
      <c r="Q362" s="61"/>
      <c r="R362" s="61" t="s">
        <v>285</v>
      </c>
      <c r="S362" s="61" t="s">
        <v>1644</v>
      </c>
      <c r="T362" s="61" t="s">
        <v>1644</v>
      </c>
      <c r="AC362" s="43" t="s">
        <v>1814</v>
      </c>
      <c r="AD362" s="153" t="str">
        <f t="shared" si="62"/>
        <v>Sunn_hemp</v>
      </c>
      <c r="AE362" s="43" t="s">
        <v>441</v>
      </c>
      <c r="AM362" s="43" t="s">
        <v>442</v>
      </c>
      <c r="AN362" s="43" t="s">
        <v>442</v>
      </c>
      <c r="AO362" s="43" t="s">
        <v>230</v>
      </c>
      <c r="AP362" s="43" t="s">
        <v>208</v>
      </c>
      <c r="AQ362" s="43">
        <v>4</v>
      </c>
      <c r="AR362" s="43">
        <v>4</v>
      </c>
      <c r="AS362" s="43" t="s">
        <v>177</v>
      </c>
      <c r="AW362" s="65"/>
      <c r="DS362" s="43">
        <v>65.7</v>
      </c>
      <c r="DT362" s="43">
        <v>62.5</v>
      </c>
      <c r="DU362" s="43" t="s">
        <v>444</v>
      </c>
      <c r="FA362" s="43" t="s">
        <v>447</v>
      </c>
      <c r="FC362" s="43">
        <v>22</v>
      </c>
    </row>
    <row r="363" spans="1:159" s="43" customFormat="1" x14ac:dyDescent="0.25">
      <c r="A363" s="43">
        <v>22</v>
      </c>
      <c r="B363" s="43" t="s">
        <v>425</v>
      </c>
      <c r="C363" s="43" t="s">
        <v>426</v>
      </c>
      <c r="D363" s="43">
        <v>2013</v>
      </c>
      <c r="E363" s="43">
        <v>2011</v>
      </c>
      <c r="F363" s="43" t="s">
        <v>474</v>
      </c>
      <c r="G363" s="43" t="s">
        <v>429</v>
      </c>
      <c r="H363" s="43">
        <v>38.82</v>
      </c>
      <c r="I363" s="43">
        <v>-76.75</v>
      </c>
      <c r="J363" s="43">
        <v>5.5</v>
      </c>
      <c r="P363" s="61" t="s">
        <v>181</v>
      </c>
      <c r="Q363" s="61"/>
      <c r="R363" s="61" t="s">
        <v>285</v>
      </c>
      <c r="S363" s="61" t="s">
        <v>1644</v>
      </c>
      <c r="T363" s="61" t="s">
        <v>1644</v>
      </c>
      <c r="AC363" s="43" t="s">
        <v>1814</v>
      </c>
      <c r="AD363" s="153" t="str">
        <f t="shared" si="62"/>
        <v>Sunn_hemp</v>
      </c>
      <c r="AE363" s="43" t="s">
        <v>441</v>
      </c>
      <c r="AM363" s="43" t="s">
        <v>443</v>
      </c>
      <c r="AN363" s="43" t="s">
        <v>443</v>
      </c>
      <c r="AO363" s="43" t="s">
        <v>230</v>
      </c>
      <c r="AP363" s="43" t="s">
        <v>208</v>
      </c>
      <c r="AQ363" s="43">
        <v>4</v>
      </c>
      <c r="AR363" s="43">
        <v>4</v>
      </c>
      <c r="AS363" s="43" t="s">
        <v>177</v>
      </c>
      <c r="AW363" s="65"/>
      <c r="DS363" s="43">
        <v>62</v>
      </c>
      <c r="DT363" s="43">
        <v>69</v>
      </c>
      <c r="DU363" s="43" t="s">
        <v>444</v>
      </c>
      <c r="FA363" s="43" t="s">
        <v>447</v>
      </c>
      <c r="FC363" s="43">
        <v>22</v>
      </c>
    </row>
    <row r="364" spans="1:159" s="43" customFormat="1" x14ac:dyDescent="0.25">
      <c r="A364" s="43">
        <v>22</v>
      </c>
      <c r="B364" s="43" t="s">
        <v>425</v>
      </c>
      <c r="C364" s="43" t="s">
        <v>426</v>
      </c>
      <c r="D364" s="43">
        <v>2013</v>
      </c>
      <c r="E364" s="43">
        <v>2011</v>
      </c>
      <c r="F364" s="43" t="s">
        <v>474</v>
      </c>
      <c r="G364" s="43" t="s">
        <v>429</v>
      </c>
      <c r="H364" s="43">
        <v>38.82</v>
      </c>
      <c r="I364" s="43">
        <v>-76.75</v>
      </c>
      <c r="J364" s="43">
        <v>5.5</v>
      </c>
      <c r="P364" s="61" t="s">
        <v>181</v>
      </c>
      <c r="Q364" s="61"/>
      <c r="R364" s="61" t="s">
        <v>445</v>
      </c>
      <c r="S364" s="61" t="s">
        <v>1644</v>
      </c>
      <c r="T364" s="61" t="s">
        <v>1644</v>
      </c>
      <c r="AC364" s="43" t="s">
        <v>1814</v>
      </c>
      <c r="AD364" s="153" t="str">
        <f t="shared" si="62"/>
        <v>Sunn_hemp</v>
      </c>
      <c r="AE364" s="43" t="s">
        <v>441</v>
      </c>
      <c r="AM364" s="43" t="s">
        <v>442</v>
      </c>
      <c r="AN364" s="43" t="s">
        <v>442</v>
      </c>
      <c r="AO364" s="43" t="s">
        <v>230</v>
      </c>
      <c r="AP364" s="43" t="s">
        <v>208</v>
      </c>
      <c r="AQ364" s="43">
        <v>4</v>
      </c>
      <c r="AR364" s="43">
        <v>4</v>
      </c>
      <c r="AS364" s="43" t="s">
        <v>177</v>
      </c>
      <c r="AW364" s="65"/>
      <c r="DS364" s="43">
        <v>57.9</v>
      </c>
      <c r="DT364" s="43">
        <v>66.7</v>
      </c>
      <c r="DU364" s="43" t="s">
        <v>444</v>
      </c>
      <c r="FA364" s="43" t="s">
        <v>447</v>
      </c>
      <c r="FC364" s="43">
        <v>22</v>
      </c>
    </row>
    <row r="365" spans="1:159" s="43" customFormat="1" x14ac:dyDescent="0.25">
      <c r="A365" s="43">
        <v>22</v>
      </c>
      <c r="B365" s="43" t="s">
        <v>425</v>
      </c>
      <c r="C365" s="43" t="s">
        <v>426</v>
      </c>
      <c r="D365" s="43">
        <v>2013</v>
      </c>
      <c r="E365" s="43">
        <v>2011</v>
      </c>
      <c r="F365" s="43" t="s">
        <v>474</v>
      </c>
      <c r="G365" s="43" t="s">
        <v>429</v>
      </c>
      <c r="H365" s="43">
        <v>38.82</v>
      </c>
      <c r="I365" s="43">
        <v>-76.75</v>
      </c>
      <c r="J365" s="43">
        <v>5.5</v>
      </c>
      <c r="P365" s="61" t="s">
        <v>181</v>
      </c>
      <c r="Q365" s="61"/>
      <c r="R365" s="61" t="s">
        <v>445</v>
      </c>
      <c r="S365" s="61" t="s">
        <v>1644</v>
      </c>
      <c r="T365" s="61" t="s">
        <v>1644</v>
      </c>
      <c r="AC365" s="43" t="s">
        <v>1814</v>
      </c>
      <c r="AD365" s="153" t="str">
        <f t="shared" si="62"/>
        <v>Sunn_hemp</v>
      </c>
      <c r="AE365" s="43" t="s">
        <v>441</v>
      </c>
      <c r="AM365" s="43" t="s">
        <v>443</v>
      </c>
      <c r="AN365" s="43" t="s">
        <v>443</v>
      </c>
      <c r="AO365" s="43" t="s">
        <v>230</v>
      </c>
      <c r="AP365" s="43" t="s">
        <v>208</v>
      </c>
      <c r="AQ365" s="43">
        <v>4</v>
      </c>
      <c r="AR365" s="43">
        <v>4</v>
      </c>
      <c r="AS365" s="43" t="s">
        <v>177</v>
      </c>
      <c r="AW365" s="65"/>
      <c r="DS365" s="43">
        <v>58.4</v>
      </c>
      <c r="DT365" s="43">
        <v>65.2</v>
      </c>
      <c r="DU365" s="43" t="s">
        <v>444</v>
      </c>
      <c r="FA365" s="43" t="s">
        <v>447</v>
      </c>
      <c r="FC365" s="43">
        <v>22</v>
      </c>
    </row>
    <row r="366" spans="1:159" s="43" customFormat="1" x14ac:dyDescent="0.25">
      <c r="A366" s="43">
        <v>22</v>
      </c>
      <c r="B366" s="43" t="s">
        <v>425</v>
      </c>
      <c r="C366" s="43" t="s">
        <v>426</v>
      </c>
      <c r="D366" s="43">
        <v>2013</v>
      </c>
      <c r="E366" s="43">
        <v>2011</v>
      </c>
      <c r="F366" s="43" t="s">
        <v>474</v>
      </c>
      <c r="G366" s="43" t="s">
        <v>429</v>
      </c>
      <c r="H366" s="43">
        <v>38.82</v>
      </c>
      <c r="I366" s="43">
        <v>-76.75</v>
      </c>
      <c r="J366" s="43">
        <v>5.5</v>
      </c>
      <c r="P366" s="61" t="s">
        <v>181</v>
      </c>
      <c r="Q366" s="61"/>
      <c r="R366" s="61" t="s">
        <v>446</v>
      </c>
      <c r="S366" s="61" t="s">
        <v>1644</v>
      </c>
      <c r="T366" s="61" t="s">
        <v>1644</v>
      </c>
      <c r="AC366" s="43" t="s">
        <v>1814</v>
      </c>
      <c r="AD366" s="153" t="str">
        <f t="shared" si="62"/>
        <v>Sunn_hemp</v>
      </c>
      <c r="AE366" s="43" t="s">
        <v>441</v>
      </c>
      <c r="AM366" s="43" t="s">
        <v>442</v>
      </c>
      <c r="AN366" s="43" t="s">
        <v>442</v>
      </c>
      <c r="AO366" s="43" t="s">
        <v>230</v>
      </c>
      <c r="AP366" s="43" t="s">
        <v>208</v>
      </c>
      <c r="AQ366" s="43">
        <v>4</v>
      </c>
      <c r="AR366" s="43">
        <v>4</v>
      </c>
      <c r="AS366" s="43" t="s">
        <v>177</v>
      </c>
      <c r="AW366" s="65"/>
      <c r="DS366" s="43">
        <v>75.900000000000006</v>
      </c>
      <c r="DT366" s="43">
        <v>74.599999999999994</v>
      </c>
      <c r="DU366" s="43" t="s">
        <v>444</v>
      </c>
      <c r="FA366" s="43" t="s">
        <v>447</v>
      </c>
      <c r="FC366" s="43">
        <v>22</v>
      </c>
    </row>
    <row r="367" spans="1:159" s="43" customFormat="1" x14ac:dyDescent="0.25">
      <c r="A367" s="43">
        <v>22</v>
      </c>
      <c r="B367" s="43" t="s">
        <v>425</v>
      </c>
      <c r="C367" s="43" t="s">
        <v>426</v>
      </c>
      <c r="D367" s="43">
        <v>2013</v>
      </c>
      <c r="E367" s="43">
        <v>2011</v>
      </c>
      <c r="F367" s="43" t="s">
        <v>474</v>
      </c>
      <c r="G367" s="43" t="s">
        <v>429</v>
      </c>
      <c r="H367" s="43">
        <v>38.82</v>
      </c>
      <c r="I367" s="43">
        <v>-76.75</v>
      </c>
      <c r="J367" s="43">
        <v>5.5</v>
      </c>
      <c r="P367" s="61" t="s">
        <v>181</v>
      </c>
      <c r="Q367" s="61"/>
      <c r="R367" s="61" t="s">
        <v>446</v>
      </c>
      <c r="S367" s="61" t="s">
        <v>1644</v>
      </c>
      <c r="T367" s="61" t="s">
        <v>1644</v>
      </c>
      <c r="AC367" s="43" t="s">
        <v>1814</v>
      </c>
      <c r="AD367" s="153" t="str">
        <f t="shared" si="62"/>
        <v>Sunn_hemp</v>
      </c>
      <c r="AE367" s="43" t="s">
        <v>441</v>
      </c>
      <c r="AM367" s="43" t="s">
        <v>443</v>
      </c>
      <c r="AN367" s="43" t="s">
        <v>443</v>
      </c>
      <c r="AO367" s="43" t="s">
        <v>230</v>
      </c>
      <c r="AP367" s="43" t="s">
        <v>208</v>
      </c>
      <c r="AQ367" s="43">
        <v>4</v>
      </c>
      <c r="AR367" s="43">
        <v>4</v>
      </c>
      <c r="AS367" s="43" t="s">
        <v>177</v>
      </c>
      <c r="AW367" s="65"/>
      <c r="DS367" s="43">
        <v>62.6</v>
      </c>
      <c r="DT367" s="43">
        <v>60.1</v>
      </c>
      <c r="DU367" s="43" t="s">
        <v>444</v>
      </c>
      <c r="FA367" s="43" t="s">
        <v>447</v>
      </c>
      <c r="FC367" s="43">
        <v>22</v>
      </c>
    </row>
    <row r="368" spans="1:159" s="42" customFormat="1" x14ac:dyDescent="0.25">
      <c r="A368" s="42">
        <v>23</v>
      </c>
      <c r="B368" s="42" t="s">
        <v>425</v>
      </c>
      <c r="C368" s="42" t="s">
        <v>426</v>
      </c>
      <c r="D368" s="42">
        <v>2016</v>
      </c>
      <c r="E368" s="42">
        <v>2009</v>
      </c>
      <c r="F368" s="42" t="s">
        <v>448</v>
      </c>
      <c r="G368" s="42" t="s">
        <v>430</v>
      </c>
      <c r="H368" s="42">
        <v>38.92</v>
      </c>
      <c r="I368" s="42">
        <v>-76.150000000000006</v>
      </c>
      <c r="J368" s="42">
        <v>4.8</v>
      </c>
      <c r="P368" s="59" t="s">
        <v>179</v>
      </c>
      <c r="Q368" s="59"/>
      <c r="R368" s="59" t="s">
        <v>449</v>
      </c>
      <c r="S368" s="59" t="s">
        <v>1644</v>
      </c>
      <c r="T368" s="59" t="s">
        <v>1644</v>
      </c>
      <c r="AC368" s="42" t="s">
        <v>1814</v>
      </c>
      <c r="AD368" s="153" t="str">
        <f t="shared" si="62"/>
        <v>Sunn_hemp</v>
      </c>
      <c r="AE368" s="42" t="s">
        <v>441</v>
      </c>
      <c r="AM368" s="42" t="s">
        <v>428</v>
      </c>
      <c r="AN368" s="42" t="s">
        <v>428</v>
      </c>
      <c r="AO368" s="42" t="s">
        <v>230</v>
      </c>
      <c r="AP368" s="42" t="s">
        <v>208</v>
      </c>
      <c r="AQ368" s="42">
        <v>4</v>
      </c>
      <c r="AR368" s="42">
        <v>4</v>
      </c>
      <c r="AS368" s="42" t="s">
        <v>177</v>
      </c>
      <c r="AW368" s="63"/>
      <c r="BB368" s="42">
        <v>48.34</v>
      </c>
      <c r="BC368" s="42">
        <v>137.63</v>
      </c>
      <c r="DS368" s="12"/>
      <c r="DU368" s="15"/>
      <c r="FC368" s="42">
        <v>23</v>
      </c>
    </row>
    <row r="369" spans="1:159" s="42" customFormat="1" x14ac:dyDescent="0.25">
      <c r="A369" s="42">
        <v>23</v>
      </c>
      <c r="B369" s="42" t="s">
        <v>425</v>
      </c>
      <c r="C369" s="42" t="s">
        <v>426</v>
      </c>
      <c r="D369" s="42">
        <v>2016</v>
      </c>
      <c r="E369" s="42">
        <v>2009</v>
      </c>
      <c r="F369" s="42" t="s">
        <v>448</v>
      </c>
      <c r="G369" s="42" t="s">
        <v>430</v>
      </c>
      <c r="H369" s="42">
        <v>38.92</v>
      </c>
      <c r="I369" s="42">
        <v>-76.150000000000006</v>
      </c>
      <c r="J369" s="42">
        <v>4.8</v>
      </c>
      <c r="P369" s="59" t="s">
        <v>179</v>
      </c>
      <c r="Q369" s="59"/>
      <c r="R369" s="59" t="s">
        <v>450</v>
      </c>
      <c r="S369" s="59" t="s">
        <v>1644</v>
      </c>
      <c r="T369" s="59" t="s">
        <v>1644</v>
      </c>
      <c r="AC369" s="42" t="s">
        <v>1814</v>
      </c>
      <c r="AD369" s="153" t="str">
        <f t="shared" si="62"/>
        <v>Sunn_hemp</v>
      </c>
      <c r="AE369" s="42" t="s">
        <v>441</v>
      </c>
      <c r="AM369" s="42" t="s">
        <v>428</v>
      </c>
      <c r="AN369" s="42" t="s">
        <v>428</v>
      </c>
      <c r="AO369" s="42" t="s">
        <v>230</v>
      </c>
      <c r="AP369" s="42" t="s">
        <v>208</v>
      </c>
      <c r="AQ369" s="42">
        <v>4</v>
      </c>
      <c r="AR369" s="42">
        <v>4</v>
      </c>
      <c r="AS369" s="42" t="s">
        <v>177</v>
      </c>
      <c r="AW369" s="63"/>
      <c r="BB369" s="42">
        <v>380.767</v>
      </c>
      <c r="BC369" s="42">
        <v>486.28</v>
      </c>
      <c r="DS369" s="12"/>
      <c r="DU369" s="15"/>
      <c r="FC369" s="42">
        <v>23</v>
      </c>
    </row>
    <row r="370" spans="1:159" s="42" customFormat="1" x14ac:dyDescent="0.25">
      <c r="A370" s="42">
        <v>23</v>
      </c>
      <c r="B370" s="42" t="s">
        <v>425</v>
      </c>
      <c r="C370" s="42" t="s">
        <v>426</v>
      </c>
      <c r="D370" s="42">
        <v>2016</v>
      </c>
      <c r="E370" s="42">
        <v>2009</v>
      </c>
      <c r="F370" s="42" t="s">
        <v>448</v>
      </c>
      <c r="G370" s="42" t="s">
        <v>430</v>
      </c>
      <c r="H370" s="42">
        <v>38.92</v>
      </c>
      <c r="I370" s="42">
        <v>-76.150000000000006</v>
      </c>
      <c r="J370" s="42">
        <v>4.8</v>
      </c>
      <c r="P370" s="59" t="s">
        <v>179</v>
      </c>
      <c r="Q370" s="59"/>
      <c r="R370" s="59" t="s">
        <v>451</v>
      </c>
      <c r="S370" s="59" t="s">
        <v>1644</v>
      </c>
      <c r="T370" s="59" t="s">
        <v>1644</v>
      </c>
      <c r="AC370" s="42" t="s">
        <v>1814</v>
      </c>
      <c r="AD370" s="153" t="str">
        <f t="shared" si="62"/>
        <v>Sunn_hemp</v>
      </c>
      <c r="AE370" s="42" t="s">
        <v>441</v>
      </c>
      <c r="AM370" s="42" t="s">
        <v>428</v>
      </c>
      <c r="AN370" s="42" t="s">
        <v>428</v>
      </c>
      <c r="AO370" s="42" t="s">
        <v>230</v>
      </c>
      <c r="AP370" s="42" t="s">
        <v>208</v>
      </c>
      <c r="AQ370" s="42">
        <v>4</v>
      </c>
      <c r="AR370" s="42">
        <v>4</v>
      </c>
      <c r="AS370" s="42" t="s">
        <v>177</v>
      </c>
      <c r="AW370" s="63"/>
      <c r="BB370" s="42">
        <v>173.48</v>
      </c>
      <c r="BC370" s="42">
        <v>165.37</v>
      </c>
      <c r="DS370" s="12"/>
      <c r="DU370" s="15"/>
      <c r="FC370" s="42">
        <v>23</v>
      </c>
    </row>
    <row r="371" spans="1:159" s="42" customFormat="1" x14ac:dyDescent="0.25">
      <c r="A371" s="42">
        <v>23</v>
      </c>
      <c r="B371" s="42" t="s">
        <v>425</v>
      </c>
      <c r="C371" s="42" t="s">
        <v>426</v>
      </c>
      <c r="D371" s="42">
        <v>2016</v>
      </c>
      <c r="E371" s="42">
        <v>2009</v>
      </c>
      <c r="F371" s="42" t="s">
        <v>448</v>
      </c>
      <c r="G371" s="42" t="s">
        <v>430</v>
      </c>
      <c r="H371" s="42">
        <v>38.92</v>
      </c>
      <c r="I371" s="42">
        <v>-76.150000000000006</v>
      </c>
      <c r="J371" s="42">
        <v>4.8</v>
      </c>
      <c r="P371" s="59" t="s">
        <v>179</v>
      </c>
      <c r="Q371" s="59"/>
      <c r="R371" s="59" t="s">
        <v>452</v>
      </c>
      <c r="S371" s="59" t="s">
        <v>1644</v>
      </c>
      <c r="T371" s="59" t="s">
        <v>1644</v>
      </c>
      <c r="AC371" s="42" t="s">
        <v>1814</v>
      </c>
      <c r="AD371" s="153" t="str">
        <f t="shared" si="62"/>
        <v>Sunn_hemp</v>
      </c>
      <c r="AE371" s="42" t="s">
        <v>441</v>
      </c>
      <c r="AM371" s="42" t="s">
        <v>428</v>
      </c>
      <c r="AN371" s="42" t="s">
        <v>428</v>
      </c>
      <c r="AO371" s="42" t="s">
        <v>230</v>
      </c>
      <c r="AP371" s="42" t="s">
        <v>208</v>
      </c>
      <c r="AQ371" s="42">
        <v>4</v>
      </c>
      <c r="AR371" s="42">
        <v>4</v>
      </c>
      <c r="AS371" s="42" t="s">
        <v>177</v>
      </c>
      <c r="AW371" s="63"/>
      <c r="BB371" s="42">
        <v>205.76</v>
      </c>
      <c r="BC371" s="42">
        <v>148.96</v>
      </c>
      <c r="DS371" s="12"/>
      <c r="DU371" s="15"/>
      <c r="FC371" s="42">
        <v>23</v>
      </c>
    </row>
    <row r="372" spans="1:159" s="42" customFormat="1" x14ac:dyDescent="0.25">
      <c r="A372" s="42">
        <v>23</v>
      </c>
      <c r="B372" s="42" t="s">
        <v>425</v>
      </c>
      <c r="C372" s="42" t="s">
        <v>426</v>
      </c>
      <c r="D372" s="42">
        <v>2016</v>
      </c>
      <c r="E372" s="42">
        <v>2009</v>
      </c>
      <c r="F372" s="42" t="s">
        <v>448</v>
      </c>
      <c r="G372" s="42" t="s">
        <v>430</v>
      </c>
      <c r="H372" s="42">
        <v>38.92</v>
      </c>
      <c r="I372" s="42">
        <v>-76.150000000000006</v>
      </c>
      <c r="J372" s="42">
        <v>4.8</v>
      </c>
      <c r="P372" s="59" t="s">
        <v>179</v>
      </c>
      <c r="Q372" s="59"/>
      <c r="R372" s="59" t="s">
        <v>453</v>
      </c>
      <c r="S372" s="59" t="s">
        <v>1644</v>
      </c>
      <c r="T372" s="59" t="s">
        <v>1644</v>
      </c>
      <c r="AC372" s="42" t="s">
        <v>1814</v>
      </c>
      <c r="AD372" s="153" t="str">
        <f t="shared" si="62"/>
        <v>Sunn_hemp</v>
      </c>
      <c r="AE372" s="42" t="s">
        <v>441</v>
      </c>
      <c r="AM372" s="42" t="s">
        <v>428</v>
      </c>
      <c r="AN372" s="42" t="s">
        <v>428</v>
      </c>
      <c r="AO372" s="42" t="s">
        <v>230</v>
      </c>
      <c r="AP372" s="42" t="s">
        <v>208</v>
      </c>
      <c r="AQ372" s="42">
        <v>4</v>
      </c>
      <c r="AR372" s="42">
        <v>4</v>
      </c>
      <c r="AS372" s="42" t="s">
        <v>177</v>
      </c>
      <c r="AW372" s="63"/>
      <c r="BB372" s="42">
        <v>773.56</v>
      </c>
      <c r="BC372" s="42">
        <v>375.87</v>
      </c>
      <c r="DS372" s="12"/>
      <c r="DU372" s="15"/>
      <c r="FC372" s="42">
        <v>23</v>
      </c>
    </row>
    <row r="373" spans="1:159" s="42" customFormat="1" x14ac:dyDescent="0.25">
      <c r="A373" s="42">
        <v>23</v>
      </c>
      <c r="B373" s="42" t="s">
        <v>425</v>
      </c>
      <c r="C373" s="42" t="s">
        <v>426</v>
      </c>
      <c r="D373" s="42">
        <v>2016</v>
      </c>
      <c r="E373" s="42">
        <v>2009</v>
      </c>
      <c r="F373" s="42" t="s">
        <v>448</v>
      </c>
      <c r="G373" s="42" t="s">
        <v>430</v>
      </c>
      <c r="H373" s="42">
        <v>38.92</v>
      </c>
      <c r="I373" s="42">
        <v>-76.150000000000006</v>
      </c>
      <c r="J373" s="42">
        <v>4.8</v>
      </c>
      <c r="P373" s="59" t="s">
        <v>179</v>
      </c>
      <c r="Q373" s="59"/>
      <c r="R373" s="59" t="s">
        <v>454</v>
      </c>
      <c r="S373" s="59" t="s">
        <v>1644</v>
      </c>
      <c r="T373" s="59" t="s">
        <v>1644</v>
      </c>
      <c r="AC373" s="42" t="s">
        <v>1814</v>
      </c>
      <c r="AD373" s="153" t="str">
        <f t="shared" si="62"/>
        <v>Sunn_hemp</v>
      </c>
      <c r="AE373" s="42" t="s">
        <v>441</v>
      </c>
      <c r="AM373" s="42" t="s">
        <v>428</v>
      </c>
      <c r="AN373" s="42" t="s">
        <v>428</v>
      </c>
      <c r="AO373" s="42" t="s">
        <v>230</v>
      </c>
      <c r="AP373" s="42" t="s">
        <v>208</v>
      </c>
      <c r="AQ373" s="42">
        <v>4</v>
      </c>
      <c r="AR373" s="42">
        <v>4</v>
      </c>
      <c r="AS373" s="42" t="s">
        <v>177</v>
      </c>
      <c r="AW373" s="63"/>
      <c r="BB373" s="42">
        <v>980.16</v>
      </c>
      <c r="BC373" s="42">
        <v>631.19000000000005</v>
      </c>
      <c r="DS373" s="12"/>
      <c r="DU373" s="15"/>
      <c r="FC373" s="42">
        <v>23</v>
      </c>
    </row>
    <row r="374" spans="1:159" s="42" customFormat="1" x14ac:dyDescent="0.25">
      <c r="A374" s="42">
        <v>23</v>
      </c>
      <c r="B374" s="42" t="s">
        <v>425</v>
      </c>
      <c r="C374" s="42" t="s">
        <v>426</v>
      </c>
      <c r="D374" s="42">
        <v>2016</v>
      </c>
      <c r="E374" s="42">
        <v>2009</v>
      </c>
      <c r="F374" s="42" t="s">
        <v>448</v>
      </c>
      <c r="G374" s="42" t="s">
        <v>430</v>
      </c>
      <c r="H374" s="42">
        <v>38.92</v>
      </c>
      <c r="I374" s="42">
        <v>-76.150000000000006</v>
      </c>
      <c r="J374" s="42">
        <v>4.8</v>
      </c>
      <c r="P374" s="59" t="s">
        <v>179</v>
      </c>
      <c r="Q374" s="59"/>
      <c r="R374" s="59" t="s">
        <v>455</v>
      </c>
      <c r="S374" s="59" t="s">
        <v>1644</v>
      </c>
      <c r="T374" s="59" t="s">
        <v>1644</v>
      </c>
      <c r="AC374" s="42" t="s">
        <v>1814</v>
      </c>
      <c r="AD374" s="153" t="str">
        <f t="shared" si="62"/>
        <v>Sunn_hemp</v>
      </c>
      <c r="AE374" s="42" t="s">
        <v>441</v>
      </c>
      <c r="AM374" s="42" t="s">
        <v>428</v>
      </c>
      <c r="AN374" s="42" t="s">
        <v>428</v>
      </c>
      <c r="AO374" s="42" t="s">
        <v>230</v>
      </c>
      <c r="AP374" s="42" t="s">
        <v>208</v>
      </c>
      <c r="AQ374" s="42">
        <v>4</v>
      </c>
      <c r="AR374" s="42">
        <v>4</v>
      </c>
      <c r="AS374" s="42" t="s">
        <v>177</v>
      </c>
      <c r="AW374" s="63"/>
      <c r="BB374" s="42">
        <v>1158.3800000000001</v>
      </c>
      <c r="BC374" s="42">
        <v>358.94</v>
      </c>
      <c r="DS374" s="12"/>
      <c r="DU374" s="15"/>
      <c r="FC374" s="42">
        <v>23</v>
      </c>
    </row>
    <row r="375" spans="1:159" s="42" customFormat="1" x14ac:dyDescent="0.25">
      <c r="A375" s="42">
        <v>23</v>
      </c>
      <c r="B375" s="42" t="s">
        <v>425</v>
      </c>
      <c r="C375" s="42" t="s">
        <v>426</v>
      </c>
      <c r="D375" s="42">
        <v>2016</v>
      </c>
      <c r="E375" s="42">
        <v>2009</v>
      </c>
      <c r="F375" s="42" t="s">
        <v>448</v>
      </c>
      <c r="G375" s="42" t="s">
        <v>430</v>
      </c>
      <c r="H375" s="42">
        <v>38.92</v>
      </c>
      <c r="I375" s="42">
        <v>-76.150000000000006</v>
      </c>
      <c r="J375" s="42">
        <v>4.8</v>
      </c>
      <c r="P375" s="59" t="s">
        <v>179</v>
      </c>
      <c r="Q375" s="59"/>
      <c r="R375" s="59" t="s">
        <v>456</v>
      </c>
      <c r="S375" s="59" t="s">
        <v>1644</v>
      </c>
      <c r="T375" s="59" t="s">
        <v>1644</v>
      </c>
      <c r="AC375" s="42" t="s">
        <v>1814</v>
      </c>
      <c r="AD375" s="153" t="str">
        <f t="shared" si="62"/>
        <v>Sunn_hemp</v>
      </c>
      <c r="AE375" s="42" t="s">
        <v>441</v>
      </c>
      <c r="AM375" s="42" t="s">
        <v>428</v>
      </c>
      <c r="AN375" s="42" t="s">
        <v>428</v>
      </c>
      <c r="AO375" s="42" t="s">
        <v>230</v>
      </c>
      <c r="AP375" s="42" t="s">
        <v>208</v>
      </c>
      <c r="AQ375" s="42">
        <v>4</v>
      </c>
      <c r="AR375" s="42">
        <v>4</v>
      </c>
      <c r="AS375" s="42" t="s">
        <v>177</v>
      </c>
      <c r="AW375" s="63"/>
      <c r="BB375" s="42">
        <v>573.70000000000005</v>
      </c>
      <c r="BC375" s="42">
        <v>131.72999999999999</v>
      </c>
      <c r="DS375" s="12"/>
      <c r="DU375" s="15"/>
      <c r="FC375" s="42">
        <v>23</v>
      </c>
    </row>
    <row r="376" spans="1:159" s="42" customFormat="1" x14ac:dyDescent="0.25">
      <c r="A376" s="42">
        <v>23</v>
      </c>
      <c r="B376" s="42" t="s">
        <v>425</v>
      </c>
      <c r="C376" s="42" t="s">
        <v>426</v>
      </c>
      <c r="D376" s="42">
        <v>2016</v>
      </c>
      <c r="E376" s="42">
        <v>2009</v>
      </c>
      <c r="F376" s="42" t="s">
        <v>448</v>
      </c>
      <c r="G376" s="42" t="s">
        <v>430</v>
      </c>
      <c r="H376" s="42">
        <v>38.92</v>
      </c>
      <c r="I376" s="42">
        <v>-76.150000000000006</v>
      </c>
      <c r="J376" s="42">
        <v>4.8</v>
      </c>
      <c r="P376" s="59" t="s">
        <v>179</v>
      </c>
      <c r="Q376" s="59"/>
      <c r="R376" s="59" t="s">
        <v>457</v>
      </c>
      <c r="S376" s="59" t="s">
        <v>1644</v>
      </c>
      <c r="T376" s="59" t="s">
        <v>1644</v>
      </c>
      <c r="AC376" s="42" t="s">
        <v>1814</v>
      </c>
      <c r="AD376" s="153" t="str">
        <f t="shared" si="62"/>
        <v>Sunn_hemp</v>
      </c>
      <c r="AE376" s="42" t="s">
        <v>441</v>
      </c>
      <c r="AM376" s="42" t="s">
        <v>428</v>
      </c>
      <c r="AN376" s="42" t="s">
        <v>428</v>
      </c>
      <c r="AO376" s="42" t="s">
        <v>230</v>
      </c>
      <c r="AP376" s="42" t="s">
        <v>208</v>
      </c>
      <c r="AQ376" s="42">
        <v>4</v>
      </c>
      <c r="AR376" s="42">
        <v>4</v>
      </c>
      <c r="AS376" s="42" t="s">
        <v>177</v>
      </c>
      <c r="AW376" s="63"/>
      <c r="BB376" s="42">
        <v>800.61</v>
      </c>
      <c r="BC376" s="42">
        <v>191.9</v>
      </c>
      <c r="DS376" s="12"/>
      <c r="DU376" s="15"/>
      <c r="FC376" s="42">
        <v>23</v>
      </c>
    </row>
    <row r="377" spans="1:159" s="42" customFormat="1" x14ac:dyDescent="0.25">
      <c r="A377" s="42">
        <v>23</v>
      </c>
      <c r="B377" s="42" t="s">
        <v>425</v>
      </c>
      <c r="C377" s="42" t="s">
        <v>426</v>
      </c>
      <c r="D377" s="42">
        <v>2016</v>
      </c>
      <c r="E377" s="42">
        <v>2009</v>
      </c>
      <c r="F377" s="42" t="s">
        <v>448</v>
      </c>
      <c r="G377" s="42" t="s">
        <v>430</v>
      </c>
      <c r="H377" s="42">
        <v>38.92</v>
      </c>
      <c r="I377" s="42">
        <v>-76.150000000000006</v>
      </c>
      <c r="J377" s="42">
        <v>4.8</v>
      </c>
      <c r="P377" s="59" t="s">
        <v>179</v>
      </c>
      <c r="Q377" s="59"/>
      <c r="R377" s="59" t="s">
        <v>458</v>
      </c>
      <c r="S377" s="59" t="s">
        <v>1644</v>
      </c>
      <c r="T377" s="59" t="s">
        <v>1644</v>
      </c>
      <c r="AC377" s="42" t="s">
        <v>1814</v>
      </c>
      <c r="AD377" s="153" t="str">
        <f t="shared" si="62"/>
        <v>Sunn_hemp</v>
      </c>
      <c r="AE377" s="42" t="s">
        <v>441</v>
      </c>
      <c r="AM377" s="42" t="s">
        <v>428</v>
      </c>
      <c r="AN377" s="42" t="s">
        <v>428</v>
      </c>
      <c r="AO377" s="42" t="s">
        <v>230</v>
      </c>
      <c r="AP377" s="42" t="s">
        <v>208</v>
      </c>
      <c r="AQ377" s="42">
        <v>4</v>
      </c>
      <c r="AR377" s="42">
        <v>4</v>
      </c>
      <c r="AS377" s="42" t="s">
        <v>177</v>
      </c>
      <c r="AW377" s="63"/>
      <c r="BB377" s="42">
        <v>893.59</v>
      </c>
      <c r="BC377" s="42">
        <v>240.28</v>
      </c>
      <c r="DS377" s="12"/>
      <c r="DU377" s="15"/>
      <c r="FC377" s="42">
        <v>23</v>
      </c>
    </row>
    <row r="378" spans="1:159" s="42" customFormat="1" x14ac:dyDescent="0.25">
      <c r="A378" s="42">
        <v>23</v>
      </c>
      <c r="B378" s="42" t="s">
        <v>425</v>
      </c>
      <c r="C378" s="42" t="s">
        <v>426</v>
      </c>
      <c r="D378" s="42">
        <v>2016</v>
      </c>
      <c r="E378" s="42">
        <v>2009</v>
      </c>
      <c r="F378" s="42" t="s">
        <v>448</v>
      </c>
      <c r="G378" s="42" t="s">
        <v>430</v>
      </c>
      <c r="H378" s="42">
        <v>38.92</v>
      </c>
      <c r="I378" s="42">
        <v>-76.150000000000006</v>
      </c>
      <c r="J378" s="42">
        <v>4.8</v>
      </c>
      <c r="P378" s="59" t="s">
        <v>179</v>
      </c>
      <c r="Q378" s="59"/>
      <c r="R378" s="59" t="s">
        <v>459</v>
      </c>
      <c r="S378" s="59" t="s">
        <v>1644</v>
      </c>
      <c r="T378" s="59" t="s">
        <v>1644</v>
      </c>
      <c r="AC378" s="42" t="s">
        <v>1814</v>
      </c>
      <c r="AD378" s="153" t="str">
        <f t="shared" si="62"/>
        <v>Sunn_hemp</v>
      </c>
      <c r="AE378" s="42" t="s">
        <v>441</v>
      </c>
      <c r="AM378" s="42" t="s">
        <v>428</v>
      </c>
      <c r="AN378" s="42" t="s">
        <v>428</v>
      </c>
      <c r="AO378" s="42" t="s">
        <v>230</v>
      </c>
      <c r="AP378" s="42" t="s">
        <v>208</v>
      </c>
      <c r="AQ378" s="42">
        <v>4</v>
      </c>
      <c r="AR378" s="42">
        <v>4</v>
      </c>
      <c r="AS378" s="42" t="s">
        <v>177</v>
      </c>
      <c r="AW378" s="63"/>
      <c r="BB378" s="42">
        <v>787.75</v>
      </c>
      <c r="BC378" s="42">
        <v>183.11</v>
      </c>
      <c r="DS378" s="12"/>
      <c r="DU378" s="15"/>
      <c r="FC378" s="42">
        <v>23</v>
      </c>
    </row>
    <row r="379" spans="1:159" s="42" customFormat="1" x14ac:dyDescent="0.25">
      <c r="A379" s="42">
        <v>23</v>
      </c>
      <c r="B379" s="42" t="s">
        <v>425</v>
      </c>
      <c r="C379" s="42" t="s">
        <v>426</v>
      </c>
      <c r="D379" s="42">
        <v>2016</v>
      </c>
      <c r="E379" s="42">
        <v>2009</v>
      </c>
      <c r="F379" s="42" t="s">
        <v>448</v>
      </c>
      <c r="G379" s="42" t="s">
        <v>430</v>
      </c>
      <c r="H379" s="42">
        <v>38.92</v>
      </c>
      <c r="I379" s="42">
        <v>-76.150000000000006</v>
      </c>
      <c r="J379" s="42">
        <v>4.8</v>
      </c>
      <c r="P379" s="59" t="s">
        <v>179</v>
      </c>
      <c r="Q379" s="59"/>
      <c r="R379" s="59" t="s">
        <v>461</v>
      </c>
      <c r="S379" s="59" t="s">
        <v>1644</v>
      </c>
      <c r="T379" s="59" t="s">
        <v>1644</v>
      </c>
      <c r="AC379" s="42" t="s">
        <v>1814</v>
      </c>
      <c r="AD379" s="153" t="str">
        <f t="shared" si="62"/>
        <v>Sunn_hemp</v>
      </c>
      <c r="AE379" s="42" t="s">
        <v>441</v>
      </c>
      <c r="AM379" s="42" t="s">
        <v>428</v>
      </c>
      <c r="AN379" s="42" t="s">
        <v>428</v>
      </c>
      <c r="AO379" s="42" t="s">
        <v>230</v>
      </c>
      <c r="AP379" s="42" t="s">
        <v>208</v>
      </c>
      <c r="AQ379" s="42">
        <v>4</v>
      </c>
      <c r="AR379" s="42">
        <v>4</v>
      </c>
      <c r="AS379" s="42" t="s">
        <v>177</v>
      </c>
      <c r="AW379" s="63"/>
      <c r="BB379" s="42">
        <v>414.26</v>
      </c>
      <c r="BC379" s="42">
        <v>158.61000000000001</v>
      </c>
      <c r="DS379" s="12"/>
      <c r="DU379" s="15"/>
      <c r="FC379" s="42">
        <v>23</v>
      </c>
    </row>
    <row r="380" spans="1:159" s="26" customFormat="1" x14ac:dyDescent="0.25">
      <c r="A380" s="26">
        <v>23</v>
      </c>
      <c r="B380" s="26" t="s">
        <v>425</v>
      </c>
      <c r="C380" s="26" t="s">
        <v>426</v>
      </c>
      <c r="D380" s="26">
        <v>2016</v>
      </c>
      <c r="E380" s="26">
        <v>2009</v>
      </c>
      <c r="F380" s="26" t="s">
        <v>448</v>
      </c>
      <c r="G380" s="26" t="s">
        <v>429</v>
      </c>
      <c r="H380" s="26">
        <v>38.82</v>
      </c>
      <c r="I380" s="26">
        <v>-76.75</v>
      </c>
      <c r="J380" s="26">
        <v>5.5</v>
      </c>
      <c r="P380" s="52" t="s">
        <v>179</v>
      </c>
      <c r="Q380" s="52"/>
      <c r="R380" s="52" t="s">
        <v>449</v>
      </c>
      <c r="S380" s="52" t="s">
        <v>1644</v>
      </c>
      <c r="T380" s="52" t="s">
        <v>1644</v>
      </c>
      <c r="AC380" s="26" t="s">
        <v>1814</v>
      </c>
      <c r="AD380" s="153" t="str">
        <f t="shared" si="62"/>
        <v>Sunn_hemp</v>
      </c>
      <c r="AE380" s="26" t="s">
        <v>441</v>
      </c>
      <c r="AM380" s="26" t="s">
        <v>428</v>
      </c>
      <c r="AN380" s="26" t="s">
        <v>428</v>
      </c>
      <c r="AO380" s="26" t="s">
        <v>230</v>
      </c>
      <c r="AP380" s="26" t="s">
        <v>208</v>
      </c>
      <c r="AQ380" s="26">
        <v>4</v>
      </c>
      <c r="AR380" s="26">
        <v>4</v>
      </c>
      <c r="AS380" s="26" t="s">
        <v>177</v>
      </c>
      <c r="AW380" s="63"/>
      <c r="BB380" s="26">
        <v>134.26</v>
      </c>
      <c r="BC380" s="26">
        <v>124.87</v>
      </c>
      <c r="DS380" s="12"/>
      <c r="DU380" s="15"/>
      <c r="FC380" s="26">
        <v>23</v>
      </c>
    </row>
    <row r="381" spans="1:159" s="26" customFormat="1" x14ac:dyDescent="0.25">
      <c r="A381" s="26">
        <v>23</v>
      </c>
      <c r="B381" s="26" t="s">
        <v>425</v>
      </c>
      <c r="C381" s="26" t="s">
        <v>426</v>
      </c>
      <c r="D381" s="26">
        <v>2016</v>
      </c>
      <c r="E381" s="26">
        <v>2009</v>
      </c>
      <c r="F381" s="26" t="s">
        <v>448</v>
      </c>
      <c r="G381" s="26" t="s">
        <v>429</v>
      </c>
      <c r="H381" s="26">
        <v>38.82</v>
      </c>
      <c r="I381" s="26">
        <v>-76.75</v>
      </c>
      <c r="J381" s="26">
        <v>5.5</v>
      </c>
      <c r="P381" s="52" t="s">
        <v>179</v>
      </c>
      <c r="Q381" s="52"/>
      <c r="R381" s="52" t="s">
        <v>450</v>
      </c>
      <c r="S381" s="52" t="s">
        <v>1644</v>
      </c>
      <c r="T381" s="52" t="s">
        <v>1644</v>
      </c>
      <c r="AC381" s="26" t="s">
        <v>1814</v>
      </c>
      <c r="AD381" s="153" t="str">
        <f t="shared" si="62"/>
        <v>Sunn_hemp</v>
      </c>
      <c r="AE381" s="26" t="s">
        <v>441</v>
      </c>
      <c r="AM381" s="26" t="s">
        <v>428</v>
      </c>
      <c r="AN381" s="26" t="s">
        <v>428</v>
      </c>
      <c r="AO381" s="26" t="s">
        <v>230</v>
      </c>
      <c r="AP381" s="26" t="s">
        <v>208</v>
      </c>
      <c r="AQ381" s="26">
        <v>4</v>
      </c>
      <c r="AR381" s="26">
        <v>4</v>
      </c>
      <c r="AS381" s="26" t="s">
        <v>177</v>
      </c>
      <c r="AW381" s="63"/>
      <c r="BB381" s="26">
        <v>145.25</v>
      </c>
      <c r="BC381" s="26">
        <v>134.22999999999999</v>
      </c>
      <c r="DS381" s="12"/>
      <c r="DU381" s="15"/>
      <c r="FC381" s="26">
        <v>23</v>
      </c>
    </row>
    <row r="382" spans="1:159" s="26" customFormat="1" x14ac:dyDescent="0.25">
      <c r="A382" s="26">
        <v>23</v>
      </c>
      <c r="B382" s="26" t="s">
        <v>425</v>
      </c>
      <c r="C382" s="26" t="s">
        <v>426</v>
      </c>
      <c r="D382" s="26">
        <v>2016</v>
      </c>
      <c r="E382" s="26">
        <v>2009</v>
      </c>
      <c r="F382" s="26" t="s">
        <v>448</v>
      </c>
      <c r="G382" s="26" t="s">
        <v>429</v>
      </c>
      <c r="H382" s="26">
        <v>38.82</v>
      </c>
      <c r="I382" s="26">
        <v>-76.75</v>
      </c>
      <c r="J382" s="26">
        <v>5.5</v>
      </c>
      <c r="P382" s="52" t="s">
        <v>179</v>
      </c>
      <c r="Q382" s="52"/>
      <c r="R382" s="52" t="s">
        <v>451</v>
      </c>
      <c r="S382" s="52" t="s">
        <v>1644</v>
      </c>
      <c r="T382" s="52" t="s">
        <v>1644</v>
      </c>
      <c r="AC382" s="26" t="s">
        <v>1814</v>
      </c>
      <c r="AD382" s="153" t="str">
        <f t="shared" si="62"/>
        <v>Sunn_hemp</v>
      </c>
      <c r="AE382" s="26" t="s">
        <v>441</v>
      </c>
      <c r="AM382" s="26" t="s">
        <v>428</v>
      </c>
      <c r="AN382" s="26" t="s">
        <v>428</v>
      </c>
      <c r="AO382" s="26" t="s">
        <v>230</v>
      </c>
      <c r="AP382" s="26" t="s">
        <v>208</v>
      </c>
      <c r="AQ382" s="26">
        <v>4</v>
      </c>
      <c r="AR382" s="26">
        <v>4</v>
      </c>
      <c r="AS382" s="26" t="s">
        <v>177</v>
      </c>
      <c r="AW382" s="63"/>
      <c r="BB382" s="26">
        <v>95.83</v>
      </c>
      <c r="BC382" s="26">
        <v>95.83</v>
      </c>
      <c r="DS382" s="12"/>
      <c r="DU382" s="15"/>
      <c r="FC382" s="26">
        <v>23</v>
      </c>
    </row>
    <row r="383" spans="1:159" s="26" customFormat="1" x14ac:dyDescent="0.25">
      <c r="A383" s="26">
        <v>23</v>
      </c>
      <c r="B383" s="26" t="s">
        <v>425</v>
      </c>
      <c r="C383" s="26" t="s">
        <v>426</v>
      </c>
      <c r="D383" s="26">
        <v>2016</v>
      </c>
      <c r="E383" s="26">
        <v>2009</v>
      </c>
      <c r="F383" s="26" t="s">
        <v>448</v>
      </c>
      <c r="G383" s="26" t="s">
        <v>429</v>
      </c>
      <c r="H383" s="26">
        <v>38.82</v>
      </c>
      <c r="I383" s="26">
        <v>-76.75</v>
      </c>
      <c r="J383" s="26">
        <v>5.5</v>
      </c>
      <c r="P383" s="52" t="s">
        <v>179</v>
      </c>
      <c r="Q383" s="52"/>
      <c r="R383" s="52" t="s">
        <v>452</v>
      </c>
      <c r="S383" s="52" t="s">
        <v>1644</v>
      </c>
      <c r="T383" s="52" t="s">
        <v>1644</v>
      </c>
      <c r="AC383" s="26" t="s">
        <v>1814</v>
      </c>
      <c r="AD383" s="153" t="str">
        <f t="shared" si="62"/>
        <v>Sunn_hemp</v>
      </c>
      <c r="AE383" s="26" t="s">
        <v>441</v>
      </c>
      <c r="AM383" s="26" t="s">
        <v>428</v>
      </c>
      <c r="AN383" s="26" t="s">
        <v>428</v>
      </c>
      <c r="AO383" s="26" t="s">
        <v>230</v>
      </c>
      <c r="AP383" s="26" t="s">
        <v>208</v>
      </c>
      <c r="AQ383" s="26">
        <v>4</v>
      </c>
      <c r="AR383" s="26">
        <v>4</v>
      </c>
      <c r="AS383" s="26" t="s">
        <v>177</v>
      </c>
      <c r="AW383" s="63"/>
      <c r="BB383" s="26">
        <v>131.72</v>
      </c>
      <c r="BC383" s="26">
        <v>115.8</v>
      </c>
      <c r="DS383" s="12"/>
      <c r="DU383" s="15"/>
      <c r="FC383" s="26">
        <v>23</v>
      </c>
    </row>
    <row r="384" spans="1:159" s="26" customFormat="1" x14ac:dyDescent="0.25">
      <c r="A384" s="26">
        <v>23</v>
      </c>
      <c r="B384" s="26" t="s">
        <v>425</v>
      </c>
      <c r="C384" s="26" t="s">
        <v>426</v>
      </c>
      <c r="D384" s="26">
        <v>2016</v>
      </c>
      <c r="E384" s="26">
        <v>2009</v>
      </c>
      <c r="F384" s="26" t="s">
        <v>448</v>
      </c>
      <c r="G384" s="26" t="s">
        <v>429</v>
      </c>
      <c r="H384" s="26">
        <v>38.82</v>
      </c>
      <c r="I384" s="26">
        <v>-76.75</v>
      </c>
      <c r="J384" s="26">
        <v>5.5</v>
      </c>
      <c r="P384" s="52" t="s">
        <v>179</v>
      </c>
      <c r="Q384" s="52"/>
      <c r="R384" s="52" t="s">
        <v>453</v>
      </c>
      <c r="S384" s="52" t="s">
        <v>1644</v>
      </c>
      <c r="T384" s="52" t="s">
        <v>1644</v>
      </c>
      <c r="AC384" s="26" t="s">
        <v>1814</v>
      </c>
      <c r="AD384" s="153" t="str">
        <f t="shared" si="62"/>
        <v>Sunn_hemp</v>
      </c>
      <c r="AE384" s="26" t="s">
        <v>441</v>
      </c>
      <c r="AM384" s="26" t="s">
        <v>428</v>
      </c>
      <c r="AN384" s="26" t="s">
        <v>428</v>
      </c>
      <c r="AO384" s="26" t="s">
        <v>230</v>
      </c>
      <c r="AP384" s="26" t="s">
        <v>208</v>
      </c>
      <c r="AQ384" s="26">
        <v>4</v>
      </c>
      <c r="AR384" s="26">
        <v>4</v>
      </c>
      <c r="AS384" s="26" t="s">
        <v>177</v>
      </c>
      <c r="AW384" s="63"/>
      <c r="BB384" s="26">
        <v>136.16999999999999</v>
      </c>
      <c r="BC384" s="26">
        <v>142.71</v>
      </c>
      <c r="DS384" s="12"/>
      <c r="DU384" s="15"/>
      <c r="FC384" s="26">
        <v>23</v>
      </c>
    </row>
    <row r="385" spans="1:159" s="26" customFormat="1" x14ac:dyDescent="0.25">
      <c r="A385" s="26">
        <v>23</v>
      </c>
      <c r="B385" s="26" t="s">
        <v>425</v>
      </c>
      <c r="C385" s="26" t="s">
        <v>426</v>
      </c>
      <c r="D385" s="26">
        <v>2016</v>
      </c>
      <c r="E385" s="26">
        <v>2009</v>
      </c>
      <c r="F385" s="26" t="s">
        <v>448</v>
      </c>
      <c r="G385" s="26" t="s">
        <v>429</v>
      </c>
      <c r="H385" s="26">
        <v>38.82</v>
      </c>
      <c r="I385" s="26">
        <v>-76.75</v>
      </c>
      <c r="J385" s="26">
        <v>5.5</v>
      </c>
      <c r="P385" s="52" t="s">
        <v>179</v>
      </c>
      <c r="Q385" s="52"/>
      <c r="R385" s="52" t="s">
        <v>454</v>
      </c>
      <c r="S385" s="52" t="s">
        <v>1644</v>
      </c>
      <c r="T385" s="52" t="s">
        <v>1644</v>
      </c>
      <c r="AC385" s="26" t="s">
        <v>1814</v>
      </c>
      <c r="AD385" s="153" t="str">
        <f t="shared" si="62"/>
        <v>Sunn_hemp</v>
      </c>
      <c r="AE385" s="26" t="s">
        <v>441</v>
      </c>
      <c r="AM385" s="26" t="s">
        <v>428</v>
      </c>
      <c r="AN385" s="26" t="s">
        <v>428</v>
      </c>
      <c r="AO385" s="26" t="s">
        <v>230</v>
      </c>
      <c r="AP385" s="26" t="s">
        <v>208</v>
      </c>
      <c r="AQ385" s="26">
        <v>4</v>
      </c>
      <c r="AR385" s="26">
        <v>4</v>
      </c>
      <c r="AS385" s="26" t="s">
        <v>177</v>
      </c>
      <c r="AW385" s="63"/>
      <c r="BB385" s="26">
        <v>156.55000000000001</v>
      </c>
      <c r="BC385" s="26">
        <v>143.08000000000001</v>
      </c>
      <c r="DS385" s="12"/>
      <c r="DU385" s="15"/>
      <c r="FC385" s="26">
        <v>23</v>
      </c>
    </row>
    <row r="386" spans="1:159" s="26" customFormat="1" x14ac:dyDescent="0.25">
      <c r="A386" s="26">
        <v>23</v>
      </c>
      <c r="B386" s="26" t="s">
        <v>425</v>
      </c>
      <c r="C386" s="26" t="s">
        <v>426</v>
      </c>
      <c r="D386" s="26">
        <v>2016</v>
      </c>
      <c r="E386" s="26">
        <v>2009</v>
      </c>
      <c r="F386" s="26" t="s">
        <v>448</v>
      </c>
      <c r="G386" s="26" t="s">
        <v>429</v>
      </c>
      <c r="H386" s="26">
        <v>38.82</v>
      </c>
      <c r="I386" s="26">
        <v>-76.75</v>
      </c>
      <c r="J386" s="26">
        <v>5.5</v>
      </c>
      <c r="P386" s="52" t="s">
        <v>179</v>
      </c>
      <c r="Q386" s="52"/>
      <c r="R386" s="52" t="s">
        <v>455</v>
      </c>
      <c r="S386" s="52" t="s">
        <v>1644</v>
      </c>
      <c r="T386" s="52" t="s">
        <v>1644</v>
      </c>
      <c r="AC386" s="26" t="s">
        <v>1814</v>
      </c>
      <c r="AD386" s="153" t="str">
        <f t="shared" si="62"/>
        <v>Sunn_hemp</v>
      </c>
      <c r="AE386" s="26" t="s">
        <v>441</v>
      </c>
      <c r="AM386" s="26" t="s">
        <v>428</v>
      </c>
      <c r="AN386" s="26" t="s">
        <v>428</v>
      </c>
      <c r="AO386" s="26" t="s">
        <v>230</v>
      </c>
      <c r="AP386" s="26" t="s">
        <v>208</v>
      </c>
      <c r="AQ386" s="26">
        <v>4</v>
      </c>
      <c r="AR386" s="26">
        <v>4</v>
      </c>
      <c r="AS386" s="26" t="s">
        <v>177</v>
      </c>
      <c r="AW386" s="63"/>
      <c r="BB386" s="26">
        <v>213.67</v>
      </c>
      <c r="BC386" s="26">
        <v>208.77</v>
      </c>
      <c r="DS386" s="12"/>
      <c r="DU386" s="15"/>
      <c r="FC386" s="26">
        <v>23</v>
      </c>
    </row>
    <row r="387" spans="1:159" s="26" customFormat="1" x14ac:dyDescent="0.25">
      <c r="A387" s="26">
        <v>23</v>
      </c>
      <c r="B387" s="26" t="s">
        <v>425</v>
      </c>
      <c r="C387" s="26" t="s">
        <v>426</v>
      </c>
      <c r="D387" s="26">
        <v>2016</v>
      </c>
      <c r="E387" s="26">
        <v>2009</v>
      </c>
      <c r="F387" s="26" t="s">
        <v>448</v>
      </c>
      <c r="G387" s="26" t="s">
        <v>429</v>
      </c>
      <c r="H387" s="26">
        <v>38.82</v>
      </c>
      <c r="I387" s="26">
        <v>-76.75</v>
      </c>
      <c r="J387" s="26">
        <v>5.5</v>
      </c>
      <c r="P387" s="52" t="s">
        <v>179</v>
      </c>
      <c r="Q387" s="52"/>
      <c r="R387" s="52" t="s">
        <v>456</v>
      </c>
      <c r="S387" s="52" t="s">
        <v>1644</v>
      </c>
      <c r="T387" s="52" t="s">
        <v>1644</v>
      </c>
      <c r="AC387" s="26" t="s">
        <v>1814</v>
      </c>
      <c r="AD387" s="153" t="str">
        <f t="shared" ref="AD387:AD450" si="63">IF(OR(AC387="*Rye",AC387="Rye*",AC387="Downy_brome"),"Rye",IF(OR(AC387="*Oat",AC387="Oat*",AC387="Trudan_8",AC387="*Wheat",AC387="Wheat*",AC387="Barley*",AC387="Hemp",AC387="Hemp",AC387="Triticale*",AC387="Grass",AC387="Millet"),"Grass",IF(OR(AC387="*clover",AC387="clover*",AC387="Vetch*",AC387="Vetch*",AC387="Alfalfa",AC387="Soybean",AC387="*Lentil",AC387="Lentil*",AC387="*Pea",AC387="Pea*",AC387="Lupine"),"Legume",AC387)))</f>
        <v>Sunn_hemp</v>
      </c>
      <c r="AE387" s="26" t="s">
        <v>441</v>
      </c>
      <c r="AM387" s="26" t="s">
        <v>428</v>
      </c>
      <c r="AN387" s="26" t="s">
        <v>428</v>
      </c>
      <c r="AO387" s="26" t="s">
        <v>230</v>
      </c>
      <c r="AP387" s="26" t="s">
        <v>208</v>
      </c>
      <c r="AQ387" s="26">
        <v>4</v>
      </c>
      <c r="AR387" s="26">
        <v>4</v>
      </c>
      <c r="AS387" s="26" t="s">
        <v>177</v>
      </c>
      <c r="AW387" s="63"/>
      <c r="BB387" s="26">
        <v>147.91999999999999</v>
      </c>
      <c r="BC387" s="26">
        <v>125.47</v>
      </c>
      <c r="DS387" s="12"/>
      <c r="DU387" s="15"/>
      <c r="FC387" s="26">
        <v>23</v>
      </c>
    </row>
    <row r="388" spans="1:159" s="26" customFormat="1" x14ac:dyDescent="0.25">
      <c r="A388" s="26">
        <v>23</v>
      </c>
      <c r="B388" s="26" t="s">
        <v>425</v>
      </c>
      <c r="C388" s="26" t="s">
        <v>426</v>
      </c>
      <c r="D388" s="26">
        <v>2016</v>
      </c>
      <c r="E388" s="26">
        <v>2009</v>
      </c>
      <c r="F388" s="26" t="s">
        <v>448</v>
      </c>
      <c r="G388" s="26" t="s">
        <v>429</v>
      </c>
      <c r="H388" s="26">
        <v>38.82</v>
      </c>
      <c r="I388" s="26">
        <v>-76.75</v>
      </c>
      <c r="J388" s="26">
        <v>5.5</v>
      </c>
      <c r="P388" s="52" t="s">
        <v>179</v>
      </c>
      <c r="Q388" s="52"/>
      <c r="R388" s="52" t="s">
        <v>457</v>
      </c>
      <c r="S388" s="52" t="s">
        <v>1644</v>
      </c>
      <c r="T388" s="52" t="s">
        <v>1644</v>
      </c>
      <c r="AC388" s="26" t="s">
        <v>1814</v>
      </c>
      <c r="AD388" s="153" t="str">
        <f t="shared" si="63"/>
        <v>Sunn_hemp</v>
      </c>
      <c r="AE388" s="26" t="s">
        <v>441</v>
      </c>
      <c r="AM388" s="26" t="s">
        <v>428</v>
      </c>
      <c r="AN388" s="26" t="s">
        <v>428</v>
      </c>
      <c r="AO388" s="26" t="s">
        <v>230</v>
      </c>
      <c r="AP388" s="26" t="s">
        <v>208</v>
      </c>
      <c r="AQ388" s="26">
        <v>4</v>
      </c>
      <c r="AR388" s="26">
        <v>4</v>
      </c>
      <c r="AS388" s="26" t="s">
        <v>177</v>
      </c>
      <c r="AW388" s="63"/>
      <c r="BB388" s="26">
        <v>176.87</v>
      </c>
      <c r="BC388" s="26">
        <v>107.89</v>
      </c>
      <c r="DS388" s="12"/>
      <c r="DU388" s="15"/>
      <c r="FC388" s="26">
        <v>23</v>
      </c>
    </row>
    <row r="389" spans="1:159" s="26" customFormat="1" x14ac:dyDescent="0.25">
      <c r="A389" s="26">
        <v>23</v>
      </c>
      <c r="B389" s="26" t="s">
        <v>425</v>
      </c>
      <c r="C389" s="26" t="s">
        <v>426</v>
      </c>
      <c r="D389" s="26">
        <v>2016</v>
      </c>
      <c r="E389" s="26">
        <v>2009</v>
      </c>
      <c r="F389" s="26" t="s">
        <v>448</v>
      </c>
      <c r="G389" s="26" t="s">
        <v>429</v>
      </c>
      <c r="H389" s="26">
        <v>38.82</v>
      </c>
      <c r="I389" s="26">
        <v>-76.75</v>
      </c>
      <c r="J389" s="26">
        <v>5.5</v>
      </c>
      <c r="P389" s="52" t="s">
        <v>179</v>
      </c>
      <c r="Q389" s="52"/>
      <c r="R389" s="52" t="s">
        <v>458</v>
      </c>
      <c r="S389" s="52" t="s">
        <v>1644</v>
      </c>
      <c r="T389" s="52" t="s">
        <v>1644</v>
      </c>
      <c r="AC389" s="26" t="s">
        <v>1814</v>
      </c>
      <c r="AD389" s="153" t="str">
        <f t="shared" si="63"/>
        <v>Sunn_hemp</v>
      </c>
      <c r="AE389" s="26" t="s">
        <v>441</v>
      </c>
      <c r="AM389" s="26" t="s">
        <v>428</v>
      </c>
      <c r="AN389" s="26" t="s">
        <v>428</v>
      </c>
      <c r="AO389" s="26" t="s">
        <v>230</v>
      </c>
      <c r="AP389" s="26" t="s">
        <v>208</v>
      </c>
      <c r="AQ389" s="26">
        <v>4</v>
      </c>
      <c r="AR389" s="26">
        <v>4</v>
      </c>
      <c r="AS389" s="26" t="s">
        <v>177</v>
      </c>
      <c r="AW389" s="63"/>
      <c r="BB389" s="26">
        <v>205.41</v>
      </c>
      <c r="BC389" s="26">
        <v>123.37</v>
      </c>
      <c r="DS389" s="12"/>
      <c r="DU389" s="15"/>
      <c r="FC389" s="26">
        <v>23</v>
      </c>
    </row>
    <row r="390" spans="1:159" s="26" customFormat="1" x14ac:dyDescent="0.25">
      <c r="A390" s="26">
        <v>23</v>
      </c>
      <c r="B390" s="26" t="s">
        <v>425</v>
      </c>
      <c r="C390" s="26" t="s">
        <v>426</v>
      </c>
      <c r="D390" s="26">
        <v>2016</v>
      </c>
      <c r="E390" s="26">
        <v>2009</v>
      </c>
      <c r="F390" s="26" t="s">
        <v>448</v>
      </c>
      <c r="G390" s="26" t="s">
        <v>429</v>
      </c>
      <c r="H390" s="26">
        <v>38.82</v>
      </c>
      <c r="I390" s="26">
        <v>-76.75</v>
      </c>
      <c r="J390" s="26">
        <v>5.5</v>
      </c>
      <c r="P390" s="52" t="s">
        <v>179</v>
      </c>
      <c r="Q390" s="52"/>
      <c r="R390" s="52" t="s">
        <v>459</v>
      </c>
      <c r="S390" s="52" t="s">
        <v>1644</v>
      </c>
      <c r="T390" s="52" t="s">
        <v>1644</v>
      </c>
      <c r="AC390" s="26" t="s">
        <v>1814</v>
      </c>
      <c r="AD390" s="153" t="str">
        <f t="shared" si="63"/>
        <v>Sunn_hemp</v>
      </c>
      <c r="AE390" s="26" t="s">
        <v>441</v>
      </c>
      <c r="AM390" s="26" t="s">
        <v>428</v>
      </c>
      <c r="AN390" s="26" t="s">
        <v>428</v>
      </c>
      <c r="AO390" s="26" t="s">
        <v>230</v>
      </c>
      <c r="AP390" s="26" t="s">
        <v>208</v>
      </c>
      <c r="AQ390" s="26">
        <v>4</v>
      </c>
      <c r="AR390" s="26">
        <v>4</v>
      </c>
      <c r="AS390" s="26" t="s">
        <v>177</v>
      </c>
      <c r="AW390" s="63"/>
      <c r="BB390" s="26">
        <v>184.57</v>
      </c>
      <c r="BC390" s="26">
        <v>143.34</v>
      </c>
      <c r="DS390" s="12"/>
      <c r="DU390" s="15"/>
      <c r="FC390" s="26">
        <v>23</v>
      </c>
    </row>
    <row r="391" spans="1:159" s="26" customFormat="1" x14ac:dyDescent="0.25">
      <c r="A391" s="26">
        <v>23</v>
      </c>
      <c r="B391" s="26" t="s">
        <v>425</v>
      </c>
      <c r="C391" s="26" t="s">
        <v>426</v>
      </c>
      <c r="D391" s="26">
        <v>2016</v>
      </c>
      <c r="E391" s="26">
        <v>2009</v>
      </c>
      <c r="F391" s="26" t="s">
        <v>448</v>
      </c>
      <c r="G391" s="26" t="s">
        <v>429</v>
      </c>
      <c r="H391" s="26">
        <v>38.82</v>
      </c>
      <c r="I391" s="26">
        <v>-76.75</v>
      </c>
      <c r="J391" s="26">
        <v>5.5</v>
      </c>
      <c r="P391" s="52" t="s">
        <v>179</v>
      </c>
      <c r="Q391" s="52"/>
      <c r="R391" s="52" t="s">
        <v>461</v>
      </c>
      <c r="S391" s="52" t="s">
        <v>1644</v>
      </c>
      <c r="T391" s="52" t="s">
        <v>1644</v>
      </c>
      <c r="AC391" s="26" t="s">
        <v>1814</v>
      </c>
      <c r="AD391" s="153" t="str">
        <f t="shared" si="63"/>
        <v>Sunn_hemp</v>
      </c>
      <c r="AE391" s="26" t="s">
        <v>441</v>
      </c>
      <c r="AM391" s="26" t="s">
        <v>428</v>
      </c>
      <c r="AN391" s="26" t="s">
        <v>428</v>
      </c>
      <c r="AO391" s="26" t="s">
        <v>230</v>
      </c>
      <c r="AP391" s="26" t="s">
        <v>208</v>
      </c>
      <c r="AQ391" s="26">
        <v>4</v>
      </c>
      <c r="AR391" s="26">
        <v>4</v>
      </c>
      <c r="AS391" s="26" t="s">
        <v>177</v>
      </c>
      <c r="AW391" s="63"/>
      <c r="BB391" s="26">
        <v>125.35</v>
      </c>
      <c r="BC391" s="26">
        <v>115.56</v>
      </c>
      <c r="DS391" s="12"/>
      <c r="DU391" s="15"/>
      <c r="FC391" s="26">
        <v>23</v>
      </c>
    </row>
    <row r="392" spans="1:159" s="42" customFormat="1" x14ac:dyDescent="0.25">
      <c r="A392" s="42">
        <v>23</v>
      </c>
      <c r="B392" s="42" t="s">
        <v>425</v>
      </c>
      <c r="C392" s="42" t="s">
        <v>426</v>
      </c>
      <c r="D392" s="42">
        <v>2016</v>
      </c>
      <c r="E392" s="42">
        <v>2010</v>
      </c>
      <c r="F392" s="42" t="s">
        <v>448</v>
      </c>
      <c r="G392" s="42" t="s">
        <v>430</v>
      </c>
      <c r="H392" s="42">
        <v>38.92</v>
      </c>
      <c r="I392" s="42">
        <v>-76.150000000000006</v>
      </c>
      <c r="J392" s="42">
        <v>4.8</v>
      </c>
      <c r="P392" s="59" t="s">
        <v>180</v>
      </c>
      <c r="Q392" s="59"/>
      <c r="R392" s="59" t="s">
        <v>451</v>
      </c>
      <c r="S392" s="59" t="s">
        <v>1644</v>
      </c>
      <c r="T392" s="59" t="s">
        <v>1644</v>
      </c>
      <c r="AC392" s="42" t="s">
        <v>1814</v>
      </c>
      <c r="AD392" s="153" t="str">
        <f t="shared" si="63"/>
        <v>Sunn_hemp</v>
      </c>
      <c r="AE392" s="42" t="s">
        <v>441</v>
      </c>
      <c r="AM392" s="42" t="s">
        <v>428</v>
      </c>
      <c r="AN392" s="42" t="s">
        <v>428</v>
      </c>
      <c r="AO392" s="42" t="s">
        <v>230</v>
      </c>
      <c r="AP392" s="42" t="s">
        <v>208</v>
      </c>
      <c r="AQ392" s="42">
        <v>4</v>
      </c>
      <c r="AR392" s="42">
        <v>4</v>
      </c>
      <c r="AS392" s="42" t="s">
        <v>177</v>
      </c>
      <c r="AW392" s="63"/>
      <c r="BB392" s="42">
        <v>143.54</v>
      </c>
      <c r="BC392" s="42">
        <v>111.54</v>
      </c>
      <c r="DS392" s="12"/>
      <c r="DU392" s="15"/>
      <c r="FC392" s="42">
        <v>23</v>
      </c>
    </row>
    <row r="393" spans="1:159" s="42" customFormat="1" x14ac:dyDescent="0.25">
      <c r="A393" s="42">
        <v>23</v>
      </c>
      <c r="B393" s="42" t="s">
        <v>425</v>
      </c>
      <c r="C393" s="42" t="s">
        <v>426</v>
      </c>
      <c r="D393" s="42">
        <v>2016</v>
      </c>
      <c r="E393" s="42">
        <v>2010</v>
      </c>
      <c r="F393" s="42" t="s">
        <v>448</v>
      </c>
      <c r="G393" s="42" t="s">
        <v>430</v>
      </c>
      <c r="H393" s="42">
        <v>38.92</v>
      </c>
      <c r="I393" s="42">
        <v>-76.150000000000006</v>
      </c>
      <c r="J393" s="42">
        <v>4.8</v>
      </c>
      <c r="P393" s="59" t="s">
        <v>180</v>
      </c>
      <c r="Q393" s="59"/>
      <c r="R393" s="59" t="s">
        <v>462</v>
      </c>
      <c r="S393" s="59" t="s">
        <v>1644</v>
      </c>
      <c r="T393" s="59" t="s">
        <v>1644</v>
      </c>
      <c r="AC393" s="42" t="s">
        <v>1814</v>
      </c>
      <c r="AD393" s="153" t="str">
        <f t="shared" si="63"/>
        <v>Sunn_hemp</v>
      </c>
      <c r="AE393" s="42" t="s">
        <v>441</v>
      </c>
      <c r="AM393" s="42" t="s">
        <v>428</v>
      </c>
      <c r="AN393" s="42" t="s">
        <v>428</v>
      </c>
      <c r="AO393" s="42" t="s">
        <v>230</v>
      </c>
      <c r="AP393" s="42" t="s">
        <v>208</v>
      </c>
      <c r="AQ393" s="42">
        <v>4</v>
      </c>
      <c r="AR393" s="42">
        <v>4</v>
      </c>
      <c r="AS393" s="42" t="s">
        <v>177</v>
      </c>
      <c r="AW393" s="63"/>
      <c r="BB393" s="42">
        <v>199.11</v>
      </c>
      <c r="BC393" s="42">
        <v>128.12</v>
      </c>
      <c r="DS393" s="12"/>
      <c r="DU393" s="15"/>
      <c r="FC393" s="42">
        <v>23</v>
      </c>
    </row>
    <row r="394" spans="1:159" s="42" customFormat="1" x14ac:dyDescent="0.25">
      <c r="A394" s="42">
        <v>23</v>
      </c>
      <c r="B394" s="42" t="s">
        <v>425</v>
      </c>
      <c r="C394" s="42" t="s">
        <v>426</v>
      </c>
      <c r="D394" s="42">
        <v>2016</v>
      </c>
      <c r="E394" s="42">
        <v>2010</v>
      </c>
      <c r="F394" s="42" t="s">
        <v>448</v>
      </c>
      <c r="G394" s="42" t="s">
        <v>430</v>
      </c>
      <c r="H394" s="42">
        <v>38.92</v>
      </c>
      <c r="I394" s="42">
        <v>-76.150000000000006</v>
      </c>
      <c r="J394" s="42">
        <v>4.8</v>
      </c>
      <c r="P394" s="59" t="s">
        <v>180</v>
      </c>
      <c r="Q394" s="59"/>
      <c r="R394" s="59" t="s">
        <v>463</v>
      </c>
      <c r="S394" s="59" t="s">
        <v>1644</v>
      </c>
      <c r="T394" s="59" t="s">
        <v>1644</v>
      </c>
      <c r="AC394" s="42" t="s">
        <v>1814</v>
      </c>
      <c r="AD394" s="153" t="str">
        <f t="shared" si="63"/>
        <v>Sunn_hemp</v>
      </c>
      <c r="AE394" s="42" t="s">
        <v>441</v>
      </c>
      <c r="AM394" s="42" t="s">
        <v>428</v>
      </c>
      <c r="AN394" s="42" t="s">
        <v>428</v>
      </c>
      <c r="AO394" s="42" t="s">
        <v>230</v>
      </c>
      <c r="AP394" s="42" t="s">
        <v>208</v>
      </c>
      <c r="AQ394" s="42">
        <v>4</v>
      </c>
      <c r="AR394" s="42">
        <v>4</v>
      </c>
      <c r="AS394" s="42" t="s">
        <v>177</v>
      </c>
      <c r="AW394" s="63"/>
      <c r="BB394" s="42">
        <v>147.15</v>
      </c>
      <c r="BC394" s="42">
        <v>135.15</v>
      </c>
      <c r="DS394" s="12"/>
      <c r="DU394" s="15"/>
      <c r="FC394" s="42">
        <v>23</v>
      </c>
    </row>
    <row r="395" spans="1:159" s="42" customFormat="1" x14ac:dyDescent="0.25">
      <c r="A395" s="42">
        <v>23</v>
      </c>
      <c r="B395" s="42" t="s">
        <v>425</v>
      </c>
      <c r="C395" s="42" t="s">
        <v>426</v>
      </c>
      <c r="D395" s="42">
        <v>2016</v>
      </c>
      <c r="E395" s="42">
        <v>2010</v>
      </c>
      <c r="F395" s="42" t="s">
        <v>448</v>
      </c>
      <c r="G395" s="42" t="s">
        <v>430</v>
      </c>
      <c r="H395" s="42">
        <v>38.92</v>
      </c>
      <c r="I395" s="42">
        <v>-76.150000000000006</v>
      </c>
      <c r="J395" s="42">
        <v>4.8</v>
      </c>
      <c r="P395" s="59" t="s">
        <v>180</v>
      </c>
      <c r="Q395" s="59"/>
      <c r="R395" s="59" t="s">
        <v>456</v>
      </c>
      <c r="S395" s="59" t="s">
        <v>1644</v>
      </c>
      <c r="T395" s="59" t="s">
        <v>1644</v>
      </c>
      <c r="AC395" s="42" t="s">
        <v>1814</v>
      </c>
      <c r="AD395" s="153" t="str">
        <f t="shared" si="63"/>
        <v>Sunn_hemp</v>
      </c>
      <c r="AE395" s="42" t="s">
        <v>441</v>
      </c>
      <c r="AM395" s="42" t="s">
        <v>428</v>
      </c>
      <c r="AN395" s="42" t="s">
        <v>428</v>
      </c>
      <c r="AO395" s="42" t="s">
        <v>230</v>
      </c>
      <c r="AP395" s="42" t="s">
        <v>208</v>
      </c>
      <c r="AQ395" s="42">
        <v>4</v>
      </c>
      <c r="AR395" s="42">
        <v>4</v>
      </c>
      <c r="AS395" s="42" t="s">
        <v>177</v>
      </c>
      <c r="AW395" s="63"/>
      <c r="BB395" s="42">
        <v>212.21</v>
      </c>
      <c r="BC395" s="42">
        <v>177.71</v>
      </c>
      <c r="DS395" s="12"/>
      <c r="DU395" s="15"/>
      <c r="FC395" s="42">
        <v>23</v>
      </c>
    </row>
    <row r="396" spans="1:159" s="42" customFormat="1" x14ac:dyDescent="0.25">
      <c r="A396" s="42">
        <v>23</v>
      </c>
      <c r="B396" s="42" t="s">
        <v>425</v>
      </c>
      <c r="C396" s="42" t="s">
        <v>426</v>
      </c>
      <c r="D396" s="42">
        <v>2016</v>
      </c>
      <c r="E396" s="42">
        <v>2010</v>
      </c>
      <c r="F396" s="42" t="s">
        <v>448</v>
      </c>
      <c r="G396" s="42" t="s">
        <v>430</v>
      </c>
      <c r="H396" s="42">
        <v>38.92</v>
      </c>
      <c r="I396" s="42">
        <v>-76.150000000000006</v>
      </c>
      <c r="J396" s="42">
        <v>4.8</v>
      </c>
      <c r="P396" s="59" t="s">
        <v>180</v>
      </c>
      <c r="Q396" s="59"/>
      <c r="R396" s="59" t="s">
        <v>457</v>
      </c>
      <c r="S396" s="59" t="s">
        <v>1644</v>
      </c>
      <c r="T396" s="59" t="s">
        <v>1644</v>
      </c>
      <c r="AC396" s="42" t="s">
        <v>1814</v>
      </c>
      <c r="AD396" s="153" t="str">
        <f t="shared" si="63"/>
        <v>Sunn_hemp</v>
      </c>
      <c r="AE396" s="42" t="s">
        <v>441</v>
      </c>
      <c r="AM396" s="42" t="s">
        <v>428</v>
      </c>
      <c r="AN396" s="42" t="s">
        <v>428</v>
      </c>
      <c r="AO396" s="42" t="s">
        <v>230</v>
      </c>
      <c r="AP396" s="42" t="s">
        <v>208</v>
      </c>
      <c r="AQ396" s="42">
        <v>4</v>
      </c>
      <c r="AR396" s="42">
        <v>4</v>
      </c>
      <c r="AS396" s="42" t="s">
        <v>177</v>
      </c>
      <c r="AW396" s="63"/>
      <c r="BB396" s="42">
        <v>215.25</v>
      </c>
      <c r="BC396" s="42">
        <v>163.25</v>
      </c>
      <c r="DS396" s="12"/>
      <c r="DU396" s="15"/>
      <c r="FC396" s="42">
        <v>23</v>
      </c>
    </row>
    <row r="397" spans="1:159" s="42" customFormat="1" x14ac:dyDescent="0.25">
      <c r="A397" s="42">
        <v>23</v>
      </c>
      <c r="B397" s="42" t="s">
        <v>425</v>
      </c>
      <c r="C397" s="42" t="s">
        <v>426</v>
      </c>
      <c r="D397" s="42">
        <v>2016</v>
      </c>
      <c r="E397" s="42">
        <v>2010</v>
      </c>
      <c r="F397" s="42" t="s">
        <v>448</v>
      </c>
      <c r="G397" s="42" t="s">
        <v>430</v>
      </c>
      <c r="H397" s="42">
        <v>38.92</v>
      </c>
      <c r="I397" s="42">
        <v>-76.150000000000006</v>
      </c>
      <c r="J397" s="42">
        <v>4.8</v>
      </c>
      <c r="P397" s="59" t="s">
        <v>180</v>
      </c>
      <c r="Q397" s="59"/>
      <c r="R397" s="59" t="s">
        <v>458</v>
      </c>
      <c r="S397" s="59" t="s">
        <v>1644</v>
      </c>
      <c r="T397" s="59" t="s">
        <v>1644</v>
      </c>
      <c r="AC397" s="42" t="s">
        <v>1814</v>
      </c>
      <c r="AD397" s="153" t="str">
        <f t="shared" si="63"/>
        <v>Sunn_hemp</v>
      </c>
      <c r="AE397" s="42" t="s">
        <v>441</v>
      </c>
      <c r="AM397" s="42" t="s">
        <v>428</v>
      </c>
      <c r="AN397" s="42" t="s">
        <v>428</v>
      </c>
      <c r="AO397" s="42" t="s">
        <v>230</v>
      </c>
      <c r="AP397" s="42" t="s">
        <v>208</v>
      </c>
      <c r="AQ397" s="42">
        <v>4</v>
      </c>
      <c r="AR397" s="42">
        <v>4</v>
      </c>
      <c r="AS397" s="42" t="s">
        <v>177</v>
      </c>
      <c r="AW397" s="63"/>
      <c r="BB397" s="42">
        <v>182.28</v>
      </c>
      <c r="BC397" s="42">
        <v>130.79</v>
      </c>
      <c r="DS397" s="12"/>
      <c r="DU397" s="15"/>
      <c r="FC397" s="42">
        <v>23</v>
      </c>
    </row>
    <row r="398" spans="1:159" s="42" customFormat="1" x14ac:dyDescent="0.25">
      <c r="A398" s="42">
        <v>23</v>
      </c>
      <c r="B398" s="42" t="s">
        <v>425</v>
      </c>
      <c r="C398" s="42" t="s">
        <v>426</v>
      </c>
      <c r="D398" s="42">
        <v>2016</v>
      </c>
      <c r="E398" s="42">
        <v>2010</v>
      </c>
      <c r="F398" s="42" t="s">
        <v>448</v>
      </c>
      <c r="G398" s="42" t="s">
        <v>430</v>
      </c>
      <c r="H398" s="42">
        <v>38.92</v>
      </c>
      <c r="I398" s="42">
        <v>-76.150000000000006</v>
      </c>
      <c r="J398" s="42">
        <v>4.8</v>
      </c>
      <c r="P398" s="59" t="s">
        <v>180</v>
      </c>
      <c r="Q398" s="59"/>
      <c r="R398" s="59" t="s">
        <v>461</v>
      </c>
      <c r="S398" s="59" t="s">
        <v>1644</v>
      </c>
      <c r="T398" s="59" t="s">
        <v>1644</v>
      </c>
      <c r="AC398" s="42" t="s">
        <v>1814</v>
      </c>
      <c r="AD398" s="153" t="str">
        <f t="shared" si="63"/>
        <v>Sunn_hemp</v>
      </c>
      <c r="AE398" s="42" t="s">
        <v>441</v>
      </c>
      <c r="AM398" s="42" t="s">
        <v>428</v>
      </c>
      <c r="AN398" s="42" t="s">
        <v>428</v>
      </c>
      <c r="AO398" s="42" t="s">
        <v>230</v>
      </c>
      <c r="AP398" s="42" t="s">
        <v>208</v>
      </c>
      <c r="AQ398" s="42">
        <v>4</v>
      </c>
      <c r="AR398" s="42">
        <v>4</v>
      </c>
      <c r="AS398" s="42" t="s">
        <v>177</v>
      </c>
      <c r="AW398" s="63"/>
      <c r="BB398" s="42">
        <v>163.34</v>
      </c>
      <c r="BC398" s="42">
        <v>163.34</v>
      </c>
      <c r="DS398" s="12"/>
      <c r="DU398" s="15"/>
      <c r="FC398" s="42">
        <v>23</v>
      </c>
    </row>
    <row r="399" spans="1:159" s="42" customFormat="1" x14ac:dyDescent="0.25">
      <c r="A399" s="42">
        <v>23</v>
      </c>
      <c r="B399" s="42" t="s">
        <v>425</v>
      </c>
      <c r="C399" s="42" t="s">
        <v>426</v>
      </c>
      <c r="D399" s="42">
        <v>2016</v>
      </c>
      <c r="E399" s="42">
        <v>2010</v>
      </c>
      <c r="F399" s="42" t="s">
        <v>448</v>
      </c>
      <c r="G399" s="42" t="s">
        <v>430</v>
      </c>
      <c r="H399" s="42">
        <v>38.92</v>
      </c>
      <c r="I399" s="42">
        <v>-76.150000000000006</v>
      </c>
      <c r="J399" s="42">
        <v>4.8</v>
      </c>
      <c r="P399" s="59" t="s">
        <v>180</v>
      </c>
      <c r="Q399" s="59"/>
      <c r="R399" s="59" t="s">
        <v>465</v>
      </c>
      <c r="S399" s="59" t="s">
        <v>1644</v>
      </c>
      <c r="T399" s="59" t="s">
        <v>1644</v>
      </c>
      <c r="AC399" s="42" t="s">
        <v>1814</v>
      </c>
      <c r="AD399" s="153" t="str">
        <f t="shared" si="63"/>
        <v>Sunn_hemp</v>
      </c>
      <c r="AE399" s="42" t="s">
        <v>441</v>
      </c>
      <c r="AM399" s="42" t="s">
        <v>428</v>
      </c>
      <c r="AN399" s="42" t="s">
        <v>428</v>
      </c>
      <c r="AO399" s="42" t="s">
        <v>230</v>
      </c>
      <c r="AP399" s="42" t="s">
        <v>208</v>
      </c>
      <c r="AQ399" s="42">
        <v>4</v>
      </c>
      <c r="AR399" s="42">
        <v>4</v>
      </c>
      <c r="AS399" s="42" t="s">
        <v>177</v>
      </c>
      <c r="AW399" s="63"/>
      <c r="BB399" s="42">
        <v>160.38</v>
      </c>
      <c r="BC399" s="42">
        <v>101.88</v>
      </c>
      <c r="DS399" s="12"/>
      <c r="DU399" s="15"/>
      <c r="FC399" s="42">
        <v>23</v>
      </c>
    </row>
    <row r="400" spans="1:159" s="42" customFormat="1" x14ac:dyDescent="0.25">
      <c r="A400" s="42">
        <v>23</v>
      </c>
      <c r="B400" s="42" t="s">
        <v>425</v>
      </c>
      <c r="C400" s="42" t="s">
        <v>426</v>
      </c>
      <c r="D400" s="42">
        <v>2016</v>
      </c>
      <c r="E400" s="42">
        <v>2010</v>
      </c>
      <c r="F400" s="42" t="s">
        <v>448</v>
      </c>
      <c r="G400" s="42" t="s">
        <v>430</v>
      </c>
      <c r="H400" s="42">
        <v>38.92</v>
      </c>
      <c r="I400" s="42">
        <v>-76.150000000000006</v>
      </c>
      <c r="J400" s="42">
        <v>4.8</v>
      </c>
      <c r="P400" s="59" t="s">
        <v>180</v>
      </c>
      <c r="Q400" s="59"/>
      <c r="R400" s="59" t="s">
        <v>466</v>
      </c>
      <c r="S400" s="59" t="s">
        <v>1644</v>
      </c>
      <c r="T400" s="59" t="s">
        <v>1644</v>
      </c>
      <c r="AC400" s="42" t="s">
        <v>1814</v>
      </c>
      <c r="AD400" s="153" t="str">
        <f t="shared" si="63"/>
        <v>Sunn_hemp</v>
      </c>
      <c r="AE400" s="42" t="s">
        <v>441</v>
      </c>
      <c r="AM400" s="42" t="s">
        <v>428</v>
      </c>
      <c r="AN400" s="42" t="s">
        <v>428</v>
      </c>
      <c r="AO400" s="42" t="s">
        <v>230</v>
      </c>
      <c r="AP400" s="42" t="s">
        <v>208</v>
      </c>
      <c r="AQ400" s="42">
        <v>4</v>
      </c>
      <c r="AR400" s="42">
        <v>4</v>
      </c>
      <c r="AS400" s="42" t="s">
        <v>177</v>
      </c>
      <c r="AW400" s="63"/>
      <c r="BB400" s="42">
        <v>160.44</v>
      </c>
      <c r="BC400" s="42">
        <v>95.94</v>
      </c>
      <c r="DS400" s="12"/>
      <c r="DU400" s="15"/>
      <c r="FC400" s="42">
        <v>23</v>
      </c>
    </row>
    <row r="401" spans="1:159" s="26" customFormat="1" x14ac:dyDescent="0.25">
      <c r="A401" s="26">
        <v>23</v>
      </c>
      <c r="B401" s="26" t="s">
        <v>425</v>
      </c>
      <c r="C401" s="26" t="s">
        <v>426</v>
      </c>
      <c r="D401" s="26">
        <v>2016</v>
      </c>
      <c r="E401" s="26">
        <v>2010</v>
      </c>
      <c r="F401" s="26" t="s">
        <v>448</v>
      </c>
      <c r="G401" s="26" t="s">
        <v>429</v>
      </c>
      <c r="H401" s="26">
        <v>38.82</v>
      </c>
      <c r="I401" s="26">
        <v>-76.75</v>
      </c>
      <c r="J401" s="26">
        <v>5.5</v>
      </c>
      <c r="P401" s="52" t="s">
        <v>180</v>
      </c>
      <c r="Q401" s="52"/>
      <c r="R401" s="52" t="s">
        <v>467</v>
      </c>
      <c r="S401" s="52" t="s">
        <v>1644</v>
      </c>
      <c r="T401" s="52" t="s">
        <v>1644</v>
      </c>
      <c r="AC401" s="26" t="s">
        <v>1814</v>
      </c>
      <c r="AD401" s="153" t="str">
        <f t="shared" si="63"/>
        <v>Sunn_hemp</v>
      </c>
      <c r="AE401" s="26" t="s">
        <v>441</v>
      </c>
      <c r="AM401" s="26" t="s">
        <v>428</v>
      </c>
      <c r="AN401" s="26" t="s">
        <v>428</v>
      </c>
      <c r="AO401" s="26" t="s">
        <v>230</v>
      </c>
      <c r="AP401" s="26" t="s">
        <v>208</v>
      </c>
      <c r="AQ401" s="26">
        <v>4</v>
      </c>
      <c r="AR401" s="26">
        <v>4</v>
      </c>
      <c r="AS401" s="26" t="s">
        <v>177</v>
      </c>
      <c r="AW401" s="63"/>
      <c r="BB401" s="26">
        <v>129.25</v>
      </c>
      <c r="BC401" s="26">
        <v>1</v>
      </c>
      <c r="DS401" s="12"/>
      <c r="DU401" s="15"/>
      <c r="FC401" s="26">
        <v>23</v>
      </c>
    </row>
    <row r="402" spans="1:159" s="26" customFormat="1" x14ac:dyDescent="0.25">
      <c r="A402" s="26">
        <v>23</v>
      </c>
      <c r="B402" s="26" t="s">
        <v>425</v>
      </c>
      <c r="C402" s="26" t="s">
        <v>426</v>
      </c>
      <c r="D402" s="26">
        <v>2016</v>
      </c>
      <c r="E402" s="26">
        <v>2010</v>
      </c>
      <c r="F402" s="26" t="s">
        <v>448</v>
      </c>
      <c r="G402" s="26" t="s">
        <v>429</v>
      </c>
      <c r="H402" s="26">
        <v>38.82</v>
      </c>
      <c r="I402" s="26">
        <v>-76.75</v>
      </c>
      <c r="J402" s="26">
        <v>5.5</v>
      </c>
      <c r="P402" s="52" t="s">
        <v>180</v>
      </c>
      <c r="Q402" s="52"/>
      <c r="R402" s="52" t="s">
        <v>468</v>
      </c>
      <c r="S402" s="52" t="s">
        <v>1644</v>
      </c>
      <c r="T402" s="52" t="s">
        <v>1644</v>
      </c>
      <c r="AC402" s="26" t="s">
        <v>1814</v>
      </c>
      <c r="AD402" s="153" t="str">
        <f t="shared" si="63"/>
        <v>Sunn_hemp</v>
      </c>
      <c r="AE402" s="26" t="s">
        <v>441</v>
      </c>
      <c r="AM402" s="26" t="s">
        <v>428</v>
      </c>
      <c r="AN402" s="26" t="s">
        <v>428</v>
      </c>
      <c r="AO402" s="26" t="s">
        <v>230</v>
      </c>
      <c r="AP402" s="26" t="s">
        <v>208</v>
      </c>
      <c r="AQ402" s="26">
        <v>4</v>
      </c>
      <c r="AR402" s="26">
        <v>4</v>
      </c>
      <c r="AS402" s="26" t="s">
        <v>177</v>
      </c>
      <c r="AW402" s="63"/>
      <c r="BB402" s="26">
        <v>727.89</v>
      </c>
      <c r="BC402" s="26">
        <v>68.03</v>
      </c>
      <c r="DS402" s="12"/>
      <c r="DU402" s="15"/>
      <c r="FC402" s="26">
        <v>23</v>
      </c>
    </row>
    <row r="403" spans="1:159" s="26" customFormat="1" x14ac:dyDescent="0.25">
      <c r="A403" s="26">
        <v>23</v>
      </c>
      <c r="B403" s="26" t="s">
        <v>425</v>
      </c>
      <c r="C403" s="26" t="s">
        <v>426</v>
      </c>
      <c r="D403" s="26">
        <v>2016</v>
      </c>
      <c r="E403" s="26">
        <v>2010</v>
      </c>
      <c r="F403" s="26" t="s">
        <v>448</v>
      </c>
      <c r="G403" s="26" t="s">
        <v>429</v>
      </c>
      <c r="H403" s="26">
        <v>38.82</v>
      </c>
      <c r="I403" s="26">
        <v>-76.75</v>
      </c>
      <c r="J403" s="26">
        <v>5.5</v>
      </c>
      <c r="P403" s="52" t="s">
        <v>180</v>
      </c>
      <c r="Q403" s="52"/>
      <c r="R403" s="52" t="s">
        <v>454</v>
      </c>
      <c r="S403" s="52" t="s">
        <v>1644</v>
      </c>
      <c r="T403" s="52" t="s">
        <v>1644</v>
      </c>
      <c r="AC403" s="26" t="s">
        <v>1814</v>
      </c>
      <c r="AD403" s="153" t="str">
        <f t="shared" si="63"/>
        <v>Sunn_hemp</v>
      </c>
      <c r="AE403" s="26" t="s">
        <v>441</v>
      </c>
      <c r="AM403" s="26" t="s">
        <v>428</v>
      </c>
      <c r="AN403" s="26" t="s">
        <v>428</v>
      </c>
      <c r="AO403" s="26" t="s">
        <v>230</v>
      </c>
      <c r="AP403" s="26" t="s">
        <v>208</v>
      </c>
      <c r="AQ403" s="26">
        <v>4</v>
      </c>
      <c r="AR403" s="26">
        <v>4</v>
      </c>
      <c r="AS403" s="26" t="s">
        <v>177</v>
      </c>
      <c r="AW403" s="63"/>
      <c r="BB403" s="26">
        <v>619.04999999999995</v>
      </c>
      <c r="BC403" s="26">
        <v>231.29</v>
      </c>
      <c r="DS403" s="12"/>
      <c r="DU403" s="15"/>
      <c r="FC403" s="26">
        <v>23</v>
      </c>
    </row>
    <row r="404" spans="1:159" s="26" customFormat="1" x14ac:dyDescent="0.25">
      <c r="A404" s="26">
        <v>23</v>
      </c>
      <c r="B404" s="26" t="s">
        <v>425</v>
      </c>
      <c r="C404" s="26" t="s">
        <v>426</v>
      </c>
      <c r="D404" s="26">
        <v>2016</v>
      </c>
      <c r="E404" s="26">
        <v>2010</v>
      </c>
      <c r="F404" s="26" t="s">
        <v>448</v>
      </c>
      <c r="G404" s="26" t="s">
        <v>429</v>
      </c>
      <c r="H404" s="26">
        <v>38.82</v>
      </c>
      <c r="I404" s="26">
        <v>-76.75</v>
      </c>
      <c r="J404" s="26">
        <v>5.5</v>
      </c>
      <c r="P404" s="52" t="s">
        <v>180</v>
      </c>
      <c r="Q404" s="52"/>
      <c r="R404" s="52" t="s">
        <v>455</v>
      </c>
      <c r="S404" s="52" t="s">
        <v>1644</v>
      </c>
      <c r="T404" s="52" t="s">
        <v>1644</v>
      </c>
      <c r="AC404" s="26" t="s">
        <v>1814</v>
      </c>
      <c r="AD404" s="153" t="str">
        <f t="shared" si="63"/>
        <v>Sunn_hemp</v>
      </c>
      <c r="AE404" s="26" t="s">
        <v>441</v>
      </c>
      <c r="AM404" s="26" t="s">
        <v>428</v>
      </c>
      <c r="AN404" s="26" t="s">
        <v>428</v>
      </c>
      <c r="AO404" s="26" t="s">
        <v>230</v>
      </c>
      <c r="AP404" s="26" t="s">
        <v>208</v>
      </c>
      <c r="AQ404" s="26">
        <v>4</v>
      </c>
      <c r="AR404" s="26">
        <v>4</v>
      </c>
      <c r="AS404" s="26" t="s">
        <v>177</v>
      </c>
      <c r="AW404" s="63"/>
      <c r="BB404" s="26">
        <v>591.84</v>
      </c>
      <c r="BC404" s="26">
        <v>81.63</v>
      </c>
      <c r="DS404" s="12"/>
      <c r="DU404" s="15"/>
      <c r="FC404" s="26">
        <v>23</v>
      </c>
    </row>
    <row r="405" spans="1:159" s="26" customFormat="1" x14ac:dyDescent="0.25">
      <c r="A405" s="26">
        <v>23</v>
      </c>
      <c r="B405" s="26" t="s">
        <v>425</v>
      </c>
      <c r="C405" s="26" t="s">
        <v>426</v>
      </c>
      <c r="D405" s="26">
        <v>2016</v>
      </c>
      <c r="E405" s="26">
        <v>2010</v>
      </c>
      <c r="F405" s="26" t="s">
        <v>448</v>
      </c>
      <c r="G405" s="26" t="s">
        <v>429</v>
      </c>
      <c r="H405" s="26">
        <v>38.82</v>
      </c>
      <c r="I405" s="26">
        <v>-76.75</v>
      </c>
      <c r="J405" s="26">
        <v>5.5</v>
      </c>
      <c r="P405" s="52" t="s">
        <v>180</v>
      </c>
      <c r="Q405" s="52"/>
      <c r="R405" s="52" t="s">
        <v>469</v>
      </c>
      <c r="S405" s="52" t="s">
        <v>1644</v>
      </c>
      <c r="T405" s="52" t="s">
        <v>1644</v>
      </c>
      <c r="AC405" s="26" t="s">
        <v>1814</v>
      </c>
      <c r="AD405" s="153" t="str">
        <f t="shared" si="63"/>
        <v>Sunn_hemp</v>
      </c>
      <c r="AE405" s="26" t="s">
        <v>441</v>
      </c>
      <c r="AM405" s="26" t="s">
        <v>428</v>
      </c>
      <c r="AN405" s="26" t="s">
        <v>428</v>
      </c>
      <c r="AO405" s="26" t="s">
        <v>230</v>
      </c>
      <c r="AP405" s="26" t="s">
        <v>208</v>
      </c>
      <c r="AQ405" s="26">
        <v>4</v>
      </c>
      <c r="AR405" s="26">
        <v>4</v>
      </c>
      <c r="AS405" s="26" t="s">
        <v>177</v>
      </c>
      <c r="AW405" s="63"/>
      <c r="BB405" s="26">
        <v>401.36</v>
      </c>
      <c r="BC405" s="26">
        <v>142.86000000000001</v>
      </c>
      <c r="DS405" s="12"/>
      <c r="DU405" s="15"/>
      <c r="FC405" s="26">
        <v>23</v>
      </c>
    </row>
    <row r="406" spans="1:159" s="26" customFormat="1" x14ac:dyDescent="0.25">
      <c r="A406" s="26">
        <v>23</v>
      </c>
      <c r="B406" s="26" t="s">
        <v>425</v>
      </c>
      <c r="C406" s="26" t="s">
        <v>426</v>
      </c>
      <c r="D406" s="26">
        <v>2016</v>
      </c>
      <c r="E406" s="26">
        <v>2010</v>
      </c>
      <c r="F406" s="26" t="s">
        <v>448</v>
      </c>
      <c r="G406" s="26" t="s">
        <v>429</v>
      </c>
      <c r="H406" s="26">
        <v>38.82</v>
      </c>
      <c r="I406" s="26">
        <v>-76.75</v>
      </c>
      <c r="J406" s="26">
        <v>5.5</v>
      </c>
      <c r="P406" s="52" t="s">
        <v>180</v>
      </c>
      <c r="Q406" s="52"/>
      <c r="R406" s="52" t="s">
        <v>464</v>
      </c>
      <c r="S406" s="52" t="s">
        <v>1644</v>
      </c>
      <c r="T406" s="52" t="s">
        <v>1644</v>
      </c>
      <c r="AC406" s="26" t="s">
        <v>1814</v>
      </c>
      <c r="AD406" s="153" t="str">
        <f t="shared" si="63"/>
        <v>Sunn_hemp</v>
      </c>
      <c r="AE406" s="26" t="s">
        <v>441</v>
      </c>
      <c r="AM406" s="26" t="s">
        <v>428</v>
      </c>
      <c r="AN406" s="26" t="s">
        <v>428</v>
      </c>
      <c r="AO406" s="26" t="s">
        <v>230</v>
      </c>
      <c r="AP406" s="26" t="s">
        <v>208</v>
      </c>
      <c r="AQ406" s="26">
        <v>4</v>
      </c>
      <c r="AR406" s="26">
        <v>4</v>
      </c>
      <c r="AS406" s="26" t="s">
        <v>177</v>
      </c>
      <c r="AW406" s="63"/>
      <c r="BB406" s="26">
        <v>1095.24</v>
      </c>
      <c r="BC406" s="26">
        <v>204.08</v>
      </c>
      <c r="DS406" s="12"/>
      <c r="DU406" s="15"/>
      <c r="FC406" s="26">
        <v>23</v>
      </c>
    </row>
    <row r="407" spans="1:159" s="26" customFormat="1" x14ac:dyDescent="0.25">
      <c r="A407" s="26">
        <v>23</v>
      </c>
      <c r="B407" s="26" t="s">
        <v>425</v>
      </c>
      <c r="C407" s="26" t="s">
        <v>426</v>
      </c>
      <c r="D407" s="26">
        <v>2016</v>
      </c>
      <c r="E407" s="26">
        <v>2010</v>
      </c>
      <c r="F407" s="26" t="s">
        <v>448</v>
      </c>
      <c r="G407" s="26" t="s">
        <v>429</v>
      </c>
      <c r="H407" s="26">
        <v>38.82</v>
      </c>
      <c r="I407" s="26">
        <v>-76.75</v>
      </c>
      <c r="J407" s="26">
        <v>5.5</v>
      </c>
      <c r="P407" s="52" t="s">
        <v>180</v>
      </c>
      <c r="Q407" s="52"/>
      <c r="R407" s="52" t="s">
        <v>470</v>
      </c>
      <c r="S407" s="52" t="s">
        <v>1644</v>
      </c>
      <c r="T407" s="52" t="s">
        <v>1644</v>
      </c>
      <c r="AC407" s="26" t="s">
        <v>1814</v>
      </c>
      <c r="AD407" s="153" t="str">
        <f t="shared" si="63"/>
        <v>Sunn_hemp</v>
      </c>
      <c r="AE407" s="26" t="s">
        <v>441</v>
      </c>
      <c r="AM407" s="26" t="s">
        <v>428</v>
      </c>
      <c r="AN407" s="26" t="s">
        <v>428</v>
      </c>
      <c r="AO407" s="26" t="s">
        <v>230</v>
      </c>
      <c r="AP407" s="26" t="s">
        <v>208</v>
      </c>
      <c r="AQ407" s="26">
        <v>4</v>
      </c>
      <c r="AR407" s="26">
        <v>4</v>
      </c>
      <c r="AS407" s="26" t="s">
        <v>177</v>
      </c>
      <c r="AW407" s="63"/>
      <c r="BB407" s="26">
        <v>1482.99</v>
      </c>
      <c r="BC407" s="26">
        <v>489.8</v>
      </c>
      <c r="DS407" s="12"/>
      <c r="DU407" s="15"/>
      <c r="FC407" s="26">
        <v>23</v>
      </c>
    </row>
    <row r="408" spans="1:159" s="26" customFormat="1" x14ac:dyDescent="0.25">
      <c r="A408" s="26">
        <v>23</v>
      </c>
      <c r="B408" s="26" t="s">
        <v>425</v>
      </c>
      <c r="C408" s="26" t="s">
        <v>426</v>
      </c>
      <c r="D408" s="26">
        <v>2016</v>
      </c>
      <c r="E408" s="26">
        <v>2010</v>
      </c>
      <c r="F408" s="26" t="s">
        <v>448</v>
      </c>
      <c r="G408" s="26" t="s">
        <v>429</v>
      </c>
      <c r="H408" s="26">
        <v>38.82</v>
      </c>
      <c r="I408" s="26">
        <v>-76.75</v>
      </c>
      <c r="J408" s="26">
        <v>5.5</v>
      </c>
      <c r="P408" s="52" t="s">
        <v>180</v>
      </c>
      <c r="Q408" s="52"/>
      <c r="R408" s="52" t="s">
        <v>458</v>
      </c>
      <c r="S408" s="52" t="s">
        <v>1644</v>
      </c>
      <c r="T408" s="52" t="s">
        <v>1644</v>
      </c>
      <c r="AC408" s="26" t="s">
        <v>1814</v>
      </c>
      <c r="AD408" s="153" t="str">
        <f t="shared" si="63"/>
        <v>Sunn_hemp</v>
      </c>
      <c r="AE408" s="26" t="s">
        <v>441</v>
      </c>
      <c r="AM408" s="26" t="s">
        <v>428</v>
      </c>
      <c r="AN408" s="26" t="s">
        <v>428</v>
      </c>
      <c r="AO408" s="26" t="s">
        <v>230</v>
      </c>
      <c r="AP408" s="26" t="s">
        <v>208</v>
      </c>
      <c r="AQ408" s="26">
        <v>4</v>
      </c>
      <c r="AR408" s="26">
        <v>4</v>
      </c>
      <c r="AS408" s="26" t="s">
        <v>177</v>
      </c>
      <c r="AW408" s="63"/>
      <c r="BB408" s="26">
        <v>353.74</v>
      </c>
      <c r="BC408" s="26">
        <v>136.05000000000001</v>
      </c>
      <c r="DS408" s="12"/>
      <c r="DU408" s="15"/>
      <c r="FC408" s="26">
        <v>23</v>
      </c>
    </row>
    <row r="409" spans="1:159" s="26" customFormat="1" x14ac:dyDescent="0.25">
      <c r="A409" s="26">
        <v>23</v>
      </c>
      <c r="B409" s="26" t="s">
        <v>425</v>
      </c>
      <c r="C409" s="26" t="s">
        <v>426</v>
      </c>
      <c r="D409" s="26">
        <v>2016</v>
      </c>
      <c r="E409" s="26">
        <v>2010</v>
      </c>
      <c r="F409" s="26" t="s">
        <v>448</v>
      </c>
      <c r="G409" s="26" t="s">
        <v>429</v>
      </c>
      <c r="H409" s="26">
        <v>38.82</v>
      </c>
      <c r="I409" s="26">
        <v>-76.75</v>
      </c>
      <c r="J409" s="26">
        <v>5.5</v>
      </c>
      <c r="P409" s="52" t="s">
        <v>180</v>
      </c>
      <c r="Q409" s="52"/>
      <c r="R409" s="52" t="s">
        <v>471</v>
      </c>
      <c r="S409" s="52" t="s">
        <v>1644</v>
      </c>
      <c r="T409" s="52" t="s">
        <v>1644</v>
      </c>
      <c r="AC409" s="26" t="s">
        <v>1814</v>
      </c>
      <c r="AD409" s="153" t="str">
        <f t="shared" si="63"/>
        <v>Sunn_hemp</v>
      </c>
      <c r="AE409" s="26" t="s">
        <v>441</v>
      </c>
      <c r="AM409" s="26" t="s">
        <v>428</v>
      </c>
      <c r="AN409" s="26" t="s">
        <v>428</v>
      </c>
      <c r="AO409" s="26" t="s">
        <v>230</v>
      </c>
      <c r="AP409" s="26" t="s">
        <v>208</v>
      </c>
      <c r="AQ409" s="26">
        <v>4</v>
      </c>
      <c r="AR409" s="26">
        <v>4</v>
      </c>
      <c r="AS409" s="26" t="s">
        <v>177</v>
      </c>
      <c r="AW409" s="63"/>
      <c r="BB409" s="26">
        <v>544.22</v>
      </c>
      <c r="BC409" s="26">
        <v>122.45</v>
      </c>
      <c r="DS409" s="12"/>
      <c r="DU409" s="15"/>
      <c r="FC409" s="26">
        <v>23</v>
      </c>
    </row>
    <row r="410" spans="1:159" s="26" customFormat="1" x14ac:dyDescent="0.25">
      <c r="A410" s="26">
        <v>23</v>
      </c>
      <c r="B410" s="26" t="s">
        <v>425</v>
      </c>
      <c r="C410" s="26" t="s">
        <v>426</v>
      </c>
      <c r="D410" s="26">
        <v>2016</v>
      </c>
      <c r="E410" s="26">
        <v>2010</v>
      </c>
      <c r="F410" s="26" t="s">
        <v>448</v>
      </c>
      <c r="G410" s="26" t="s">
        <v>429</v>
      </c>
      <c r="H410" s="26">
        <v>38.82</v>
      </c>
      <c r="I410" s="26">
        <v>-76.75</v>
      </c>
      <c r="J410" s="26">
        <v>5.5</v>
      </c>
      <c r="P410" s="52" t="s">
        <v>180</v>
      </c>
      <c r="Q410" s="52"/>
      <c r="R410" s="52" t="s">
        <v>459</v>
      </c>
      <c r="S410" s="52" t="s">
        <v>1644</v>
      </c>
      <c r="T410" s="52" t="s">
        <v>1644</v>
      </c>
      <c r="AC410" s="26" t="s">
        <v>1814</v>
      </c>
      <c r="AD410" s="153" t="str">
        <f t="shared" si="63"/>
        <v>Sunn_hemp</v>
      </c>
      <c r="AE410" s="26" t="s">
        <v>441</v>
      </c>
      <c r="AM410" s="26" t="s">
        <v>428</v>
      </c>
      <c r="AN410" s="26" t="s">
        <v>428</v>
      </c>
      <c r="AO410" s="26" t="s">
        <v>230</v>
      </c>
      <c r="AP410" s="26" t="s">
        <v>208</v>
      </c>
      <c r="AQ410" s="26">
        <v>4</v>
      </c>
      <c r="AR410" s="26">
        <v>4</v>
      </c>
      <c r="AS410" s="26" t="s">
        <v>177</v>
      </c>
      <c r="AW410" s="63"/>
      <c r="BB410" s="26">
        <v>272.11</v>
      </c>
      <c r="BC410" s="26">
        <v>81.63</v>
      </c>
      <c r="DS410" s="12"/>
      <c r="DU410" s="15"/>
      <c r="FC410" s="26">
        <v>23</v>
      </c>
    </row>
    <row r="411" spans="1:159" s="26" customFormat="1" x14ac:dyDescent="0.25">
      <c r="A411" s="26">
        <v>23</v>
      </c>
      <c r="B411" s="26" t="s">
        <v>425</v>
      </c>
      <c r="C411" s="26" t="s">
        <v>426</v>
      </c>
      <c r="D411" s="26">
        <v>2016</v>
      </c>
      <c r="E411" s="26">
        <v>2010</v>
      </c>
      <c r="F411" s="26" t="s">
        <v>448</v>
      </c>
      <c r="G411" s="26" t="s">
        <v>429</v>
      </c>
      <c r="H411" s="26">
        <v>38.82</v>
      </c>
      <c r="I411" s="26">
        <v>-76.75</v>
      </c>
      <c r="J411" s="26">
        <v>5.5</v>
      </c>
      <c r="P411" s="52" t="s">
        <v>180</v>
      </c>
      <c r="Q411" s="52"/>
      <c r="R411" s="52" t="s">
        <v>461</v>
      </c>
      <c r="S411" s="52" t="s">
        <v>1644</v>
      </c>
      <c r="T411" s="52" t="s">
        <v>1644</v>
      </c>
      <c r="AC411" s="26" t="s">
        <v>1814</v>
      </c>
      <c r="AD411" s="153" t="str">
        <f t="shared" si="63"/>
        <v>Sunn_hemp</v>
      </c>
      <c r="AE411" s="26" t="s">
        <v>441</v>
      </c>
      <c r="AM411" s="26" t="s">
        <v>428</v>
      </c>
      <c r="AN411" s="26" t="s">
        <v>428</v>
      </c>
      <c r="AO411" s="26" t="s">
        <v>230</v>
      </c>
      <c r="AP411" s="26" t="s">
        <v>208</v>
      </c>
      <c r="AQ411" s="26">
        <v>4</v>
      </c>
      <c r="AR411" s="26">
        <v>4</v>
      </c>
      <c r="AS411" s="26" t="s">
        <v>177</v>
      </c>
      <c r="AW411" s="63"/>
      <c r="BB411" s="26">
        <v>653.05999999999995</v>
      </c>
      <c r="BC411" s="26">
        <v>326.52999999999997</v>
      </c>
      <c r="DS411" s="12"/>
      <c r="DU411" s="15"/>
      <c r="FC411" s="26">
        <v>23</v>
      </c>
    </row>
    <row r="412" spans="1:159" s="26" customFormat="1" x14ac:dyDescent="0.25">
      <c r="A412" s="26">
        <v>23</v>
      </c>
      <c r="B412" s="26" t="s">
        <v>425</v>
      </c>
      <c r="C412" s="26" t="s">
        <v>426</v>
      </c>
      <c r="D412" s="26">
        <v>2016</v>
      </c>
      <c r="E412" s="26">
        <v>2010</v>
      </c>
      <c r="F412" s="26" t="s">
        <v>448</v>
      </c>
      <c r="G412" s="26" t="s">
        <v>429</v>
      </c>
      <c r="H412" s="26">
        <v>38.82</v>
      </c>
      <c r="I412" s="26">
        <v>-76.75</v>
      </c>
      <c r="J412" s="26">
        <v>5.5</v>
      </c>
      <c r="P412" s="52" t="s">
        <v>180</v>
      </c>
      <c r="Q412" s="52"/>
      <c r="R412" s="52" t="s">
        <v>465</v>
      </c>
      <c r="S412" s="52" t="s">
        <v>1644</v>
      </c>
      <c r="T412" s="52" t="s">
        <v>1644</v>
      </c>
      <c r="AC412" s="26" t="s">
        <v>1814</v>
      </c>
      <c r="AD412" s="153" t="str">
        <f t="shared" si="63"/>
        <v>Sunn_hemp</v>
      </c>
      <c r="AE412" s="26" t="s">
        <v>441</v>
      </c>
      <c r="AM412" s="26" t="s">
        <v>428</v>
      </c>
      <c r="AN412" s="26" t="s">
        <v>428</v>
      </c>
      <c r="AO412" s="26" t="s">
        <v>230</v>
      </c>
      <c r="AP412" s="26" t="s">
        <v>208</v>
      </c>
      <c r="AQ412" s="26">
        <v>4</v>
      </c>
      <c r="AR412" s="26">
        <v>4</v>
      </c>
      <c r="AS412" s="26" t="s">
        <v>177</v>
      </c>
      <c r="AW412" s="63"/>
      <c r="BB412" s="26">
        <v>1721.09</v>
      </c>
      <c r="BC412" s="26">
        <v>238.1</v>
      </c>
      <c r="DS412" s="12"/>
      <c r="DU412" s="15"/>
      <c r="FC412" s="26">
        <v>23</v>
      </c>
    </row>
    <row r="413" spans="1:159" s="26" customFormat="1" x14ac:dyDescent="0.25">
      <c r="A413" s="26">
        <v>23</v>
      </c>
      <c r="B413" s="26" t="s">
        <v>425</v>
      </c>
      <c r="C413" s="26" t="s">
        <v>426</v>
      </c>
      <c r="D413" s="26">
        <v>2016</v>
      </c>
      <c r="E413" s="26">
        <v>2010</v>
      </c>
      <c r="F413" s="26" t="s">
        <v>448</v>
      </c>
      <c r="G413" s="26" t="s">
        <v>429</v>
      </c>
      <c r="H413" s="26">
        <v>38.82</v>
      </c>
      <c r="I413" s="26">
        <v>-76.75</v>
      </c>
      <c r="J413" s="26">
        <v>5.5</v>
      </c>
      <c r="P413" s="52" t="s">
        <v>180</v>
      </c>
      <c r="Q413" s="52"/>
      <c r="R413" s="52" t="s">
        <v>472</v>
      </c>
      <c r="S413" s="52" t="s">
        <v>1644</v>
      </c>
      <c r="T413" s="52" t="s">
        <v>1644</v>
      </c>
      <c r="AC413" s="26" t="s">
        <v>1814</v>
      </c>
      <c r="AD413" s="153" t="str">
        <f t="shared" si="63"/>
        <v>Sunn_hemp</v>
      </c>
      <c r="AE413" s="26" t="s">
        <v>441</v>
      </c>
      <c r="AM413" s="26" t="s">
        <v>428</v>
      </c>
      <c r="AN413" s="26" t="s">
        <v>428</v>
      </c>
      <c r="AO413" s="26" t="s">
        <v>230</v>
      </c>
      <c r="AP413" s="26" t="s">
        <v>208</v>
      </c>
      <c r="AQ413" s="26">
        <v>4</v>
      </c>
      <c r="AR413" s="26">
        <v>4</v>
      </c>
      <c r="AS413" s="26" t="s">
        <v>177</v>
      </c>
      <c r="AW413" s="63"/>
      <c r="BB413" s="26">
        <v>659.86</v>
      </c>
      <c r="BC413" s="26">
        <v>210.88</v>
      </c>
      <c r="DS413" s="12"/>
      <c r="DU413" s="15"/>
      <c r="FC413" s="26">
        <v>23</v>
      </c>
    </row>
    <row r="414" spans="1:159" s="26" customFormat="1" x14ac:dyDescent="0.25">
      <c r="A414" s="26">
        <v>23</v>
      </c>
      <c r="B414" s="26" t="s">
        <v>425</v>
      </c>
      <c r="C414" s="26" t="s">
        <v>426</v>
      </c>
      <c r="D414" s="26">
        <v>2016</v>
      </c>
      <c r="E414" s="26">
        <v>2010</v>
      </c>
      <c r="F414" s="26" t="s">
        <v>448</v>
      </c>
      <c r="G414" s="26" t="s">
        <v>429</v>
      </c>
      <c r="H414" s="26">
        <v>38.82</v>
      </c>
      <c r="I414" s="26">
        <v>-76.75</v>
      </c>
      <c r="J414" s="26">
        <v>5.5</v>
      </c>
      <c r="P414" s="52" t="s">
        <v>180</v>
      </c>
      <c r="Q414" s="52"/>
      <c r="R414" s="52" t="s">
        <v>473</v>
      </c>
      <c r="S414" s="52" t="s">
        <v>1644</v>
      </c>
      <c r="T414" s="52" t="s">
        <v>1644</v>
      </c>
      <c r="AC414" s="26" t="s">
        <v>1814</v>
      </c>
      <c r="AD414" s="153" t="str">
        <f t="shared" si="63"/>
        <v>Sunn_hemp</v>
      </c>
      <c r="AE414" s="26" t="s">
        <v>441</v>
      </c>
      <c r="AM414" s="26" t="s">
        <v>428</v>
      </c>
      <c r="AN414" s="26" t="s">
        <v>428</v>
      </c>
      <c r="AO414" s="26" t="s">
        <v>230</v>
      </c>
      <c r="AP414" s="26" t="s">
        <v>208</v>
      </c>
      <c r="AQ414" s="26">
        <v>4</v>
      </c>
      <c r="AR414" s="26">
        <v>4</v>
      </c>
      <c r="AS414" s="26" t="s">
        <v>177</v>
      </c>
      <c r="AW414" s="63"/>
      <c r="BB414" s="26">
        <v>537.41999999999996</v>
      </c>
      <c r="BC414" s="26">
        <v>360.54</v>
      </c>
      <c r="DS414" s="12"/>
      <c r="DU414" s="15"/>
      <c r="FC414" s="26">
        <v>23</v>
      </c>
    </row>
    <row r="415" spans="1:159" s="42" customFormat="1" x14ac:dyDescent="0.25">
      <c r="A415" s="42">
        <v>23</v>
      </c>
      <c r="B415" s="42" t="s">
        <v>425</v>
      </c>
      <c r="C415" s="42" t="s">
        <v>426</v>
      </c>
      <c r="D415" s="42">
        <v>2016</v>
      </c>
      <c r="E415" s="42">
        <v>2011</v>
      </c>
      <c r="F415" s="42" t="s">
        <v>448</v>
      </c>
      <c r="G415" s="42" t="s">
        <v>430</v>
      </c>
      <c r="H415" s="42">
        <v>38.92</v>
      </c>
      <c r="I415" s="42">
        <v>-76.150000000000006</v>
      </c>
      <c r="J415" s="42">
        <v>4.8</v>
      </c>
      <c r="P415" s="59" t="s">
        <v>181</v>
      </c>
      <c r="Q415" s="59"/>
      <c r="R415" s="59" t="s">
        <v>468</v>
      </c>
      <c r="S415" s="59" t="s">
        <v>1644</v>
      </c>
      <c r="T415" s="59" t="s">
        <v>1644</v>
      </c>
      <c r="AC415" s="42" t="s">
        <v>1814</v>
      </c>
      <c r="AD415" s="153" t="str">
        <f t="shared" si="63"/>
        <v>Sunn_hemp</v>
      </c>
      <c r="AE415" s="42" t="s">
        <v>441</v>
      </c>
      <c r="AM415" s="42" t="s">
        <v>428</v>
      </c>
      <c r="AN415" s="42" t="s">
        <v>428</v>
      </c>
      <c r="AO415" s="42" t="s">
        <v>230</v>
      </c>
      <c r="AP415" s="42" t="s">
        <v>208</v>
      </c>
      <c r="AQ415" s="42">
        <v>4</v>
      </c>
      <c r="AR415" s="42">
        <v>4</v>
      </c>
      <c r="AS415" s="42" t="s">
        <v>177</v>
      </c>
      <c r="AW415" s="63"/>
      <c r="BB415" s="42">
        <v>1.5</v>
      </c>
      <c r="BC415" s="42">
        <v>1.5</v>
      </c>
      <c r="DS415" s="12"/>
      <c r="DU415" s="15"/>
      <c r="FC415" s="42">
        <v>23</v>
      </c>
    </row>
    <row r="416" spans="1:159" s="42" customFormat="1" x14ac:dyDescent="0.25">
      <c r="A416" s="42">
        <v>23</v>
      </c>
      <c r="B416" s="42" t="s">
        <v>425</v>
      </c>
      <c r="C416" s="42" t="s">
        <v>426</v>
      </c>
      <c r="D416" s="42">
        <v>2016</v>
      </c>
      <c r="E416" s="42">
        <v>2011</v>
      </c>
      <c r="F416" s="42" t="s">
        <v>448</v>
      </c>
      <c r="G416" s="42" t="s">
        <v>430</v>
      </c>
      <c r="H416" s="42">
        <v>38.92</v>
      </c>
      <c r="I416" s="42">
        <v>-76.150000000000006</v>
      </c>
      <c r="J416" s="42">
        <v>4.8</v>
      </c>
      <c r="P416" s="59" t="s">
        <v>181</v>
      </c>
      <c r="Q416" s="59"/>
      <c r="R416" s="59" t="s">
        <v>462</v>
      </c>
      <c r="S416" s="59" t="s">
        <v>1644</v>
      </c>
      <c r="T416" s="59" t="s">
        <v>1644</v>
      </c>
      <c r="AC416" s="42" t="s">
        <v>1814</v>
      </c>
      <c r="AD416" s="153" t="str">
        <f t="shared" si="63"/>
        <v>Sunn_hemp</v>
      </c>
      <c r="AE416" s="42" t="s">
        <v>441</v>
      </c>
      <c r="AM416" s="42" t="s">
        <v>428</v>
      </c>
      <c r="AN416" s="42" t="s">
        <v>428</v>
      </c>
      <c r="AO416" s="42" t="s">
        <v>230</v>
      </c>
      <c r="AP416" s="42" t="s">
        <v>208</v>
      </c>
      <c r="AQ416" s="42">
        <v>4</v>
      </c>
      <c r="AR416" s="42">
        <v>4</v>
      </c>
      <c r="AS416" s="42" t="s">
        <v>177</v>
      </c>
      <c r="AW416" s="63"/>
      <c r="BB416" s="42">
        <v>1.5</v>
      </c>
      <c r="BC416" s="42">
        <v>1.5</v>
      </c>
      <c r="DS416" s="12"/>
      <c r="DU416" s="15"/>
      <c r="FC416" s="42">
        <v>23</v>
      </c>
    </row>
    <row r="417" spans="1:159" s="42" customFormat="1" x14ac:dyDescent="0.25">
      <c r="A417" s="42">
        <v>23</v>
      </c>
      <c r="B417" s="42" t="s">
        <v>425</v>
      </c>
      <c r="C417" s="42" t="s">
        <v>426</v>
      </c>
      <c r="D417" s="42">
        <v>2016</v>
      </c>
      <c r="E417" s="42">
        <v>2011</v>
      </c>
      <c r="F417" s="42" t="s">
        <v>448</v>
      </c>
      <c r="G417" s="42" t="s">
        <v>430</v>
      </c>
      <c r="H417" s="42">
        <v>38.92</v>
      </c>
      <c r="I417" s="42">
        <v>-76.150000000000006</v>
      </c>
      <c r="J417" s="42">
        <v>4.8</v>
      </c>
      <c r="P417" s="59" t="s">
        <v>181</v>
      </c>
      <c r="Q417" s="59"/>
      <c r="R417" s="59" t="s">
        <v>463</v>
      </c>
      <c r="S417" s="59" t="s">
        <v>1644</v>
      </c>
      <c r="T417" s="59" t="s">
        <v>1644</v>
      </c>
      <c r="AC417" s="42" t="s">
        <v>1814</v>
      </c>
      <c r="AD417" s="153" t="str">
        <f t="shared" si="63"/>
        <v>Sunn_hemp</v>
      </c>
      <c r="AE417" s="42" t="s">
        <v>441</v>
      </c>
      <c r="AM417" s="42" t="s">
        <v>428</v>
      </c>
      <c r="AN417" s="42" t="s">
        <v>428</v>
      </c>
      <c r="AO417" s="42" t="s">
        <v>230</v>
      </c>
      <c r="AP417" s="42" t="s">
        <v>208</v>
      </c>
      <c r="AQ417" s="42">
        <v>4</v>
      </c>
      <c r="AR417" s="42">
        <v>4</v>
      </c>
      <c r="AS417" s="42" t="s">
        <v>177</v>
      </c>
      <c r="AW417" s="63"/>
      <c r="BB417" s="42">
        <v>1.5</v>
      </c>
      <c r="BC417" s="42">
        <v>1.5</v>
      </c>
      <c r="DS417" s="12"/>
      <c r="DU417" s="15"/>
      <c r="FC417" s="42">
        <v>23</v>
      </c>
    </row>
    <row r="418" spans="1:159" s="42" customFormat="1" x14ac:dyDescent="0.25">
      <c r="A418" s="42">
        <v>23</v>
      </c>
      <c r="B418" s="42" t="s">
        <v>425</v>
      </c>
      <c r="C418" s="42" t="s">
        <v>426</v>
      </c>
      <c r="D418" s="42">
        <v>2016</v>
      </c>
      <c r="E418" s="42">
        <v>2011</v>
      </c>
      <c r="F418" s="42" t="s">
        <v>448</v>
      </c>
      <c r="G418" s="42" t="s">
        <v>430</v>
      </c>
      <c r="H418" s="42">
        <v>38.92</v>
      </c>
      <c r="I418" s="42">
        <v>-76.150000000000006</v>
      </c>
      <c r="J418" s="42">
        <v>4.8</v>
      </c>
      <c r="P418" s="59" t="s">
        <v>181</v>
      </c>
      <c r="Q418" s="59"/>
      <c r="R418" s="59" t="s">
        <v>469</v>
      </c>
      <c r="S418" s="59" t="s">
        <v>1644</v>
      </c>
      <c r="T418" s="59" t="s">
        <v>1644</v>
      </c>
      <c r="AC418" s="42" t="s">
        <v>1814</v>
      </c>
      <c r="AD418" s="153" t="str">
        <f t="shared" si="63"/>
        <v>Sunn_hemp</v>
      </c>
      <c r="AE418" s="42" t="s">
        <v>441</v>
      </c>
      <c r="AM418" s="42" t="s">
        <v>428</v>
      </c>
      <c r="AN418" s="42" t="s">
        <v>428</v>
      </c>
      <c r="AO418" s="42" t="s">
        <v>230</v>
      </c>
      <c r="AP418" s="42" t="s">
        <v>208</v>
      </c>
      <c r="AQ418" s="42">
        <v>4</v>
      </c>
      <c r="AR418" s="42">
        <v>4</v>
      </c>
      <c r="AS418" s="42" t="s">
        <v>177</v>
      </c>
      <c r="AW418" s="63"/>
      <c r="BB418" s="42">
        <v>174.25</v>
      </c>
      <c r="BC418" s="42">
        <v>415.72</v>
      </c>
      <c r="DS418" s="12"/>
      <c r="DU418" s="15"/>
      <c r="FC418" s="42">
        <v>23</v>
      </c>
    </row>
    <row r="419" spans="1:159" s="42" customFormat="1" x14ac:dyDescent="0.25">
      <c r="A419" s="42">
        <v>23</v>
      </c>
      <c r="B419" s="42" t="s">
        <v>425</v>
      </c>
      <c r="C419" s="42" t="s">
        <v>426</v>
      </c>
      <c r="D419" s="42">
        <v>2016</v>
      </c>
      <c r="E419" s="42">
        <v>2011</v>
      </c>
      <c r="F419" s="42" t="s">
        <v>448</v>
      </c>
      <c r="G419" s="42" t="s">
        <v>430</v>
      </c>
      <c r="H419" s="42">
        <v>38.92</v>
      </c>
      <c r="I419" s="42">
        <v>-76.150000000000006</v>
      </c>
      <c r="J419" s="42">
        <v>4.8</v>
      </c>
      <c r="P419" s="59" t="s">
        <v>181</v>
      </c>
      <c r="Q419" s="59"/>
      <c r="R419" s="59" t="s">
        <v>464</v>
      </c>
      <c r="S419" s="59" t="s">
        <v>1644</v>
      </c>
      <c r="T419" s="59" t="s">
        <v>1644</v>
      </c>
      <c r="AC419" s="42" t="s">
        <v>1814</v>
      </c>
      <c r="AD419" s="153" t="str">
        <f t="shared" si="63"/>
        <v>Sunn_hemp</v>
      </c>
      <c r="AE419" s="42" t="s">
        <v>441</v>
      </c>
      <c r="AM419" s="42" t="s">
        <v>428</v>
      </c>
      <c r="AN419" s="42" t="s">
        <v>428</v>
      </c>
      <c r="AO419" s="42" t="s">
        <v>230</v>
      </c>
      <c r="AP419" s="42" t="s">
        <v>208</v>
      </c>
      <c r="AQ419" s="42">
        <v>4</v>
      </c>
      <c r="AR419" s="42">
        <v>4</v>
      </c>
      <c r="AS419" s="42" t="s">
        <v>177</v>
      </c>
      <c r="AW419" s="63"/>
      <c r="BB419" s="42">
        <v>302.44</v>
      </c>
      <c r="BC419" s="42">
        <v>508.13</v>
      </c>
      <c r="DS419" s="12"/>
      <c r="DU419" s="15"/>
      <c r="FC419" s="42">
        <v>23</v>
      </c>
    </row>
    <row r="420" spans="1:159" s="42" customFormat="1" x14ac:dyDescent="0.25">
      <c r="A420" s="42">
        <v>23</v>
      </c>
      <c r="B420" s="42" t="s">
        <v>425</v>
      </c>
      <c r="C420" s="42" t="s">
        <v>426</v>
      </c>
      <c r="D420" s="42">
        <v>2016</v>
      </c>
      <c r="E420" s="42">
        <v>2011</v>
      </c>
      <c r="F420" s="42" t="s">
        <v>448</v>
      </c>
      <c r="G420" s="42" t="s">
        <v>430</v>
      </c>
      <c r="H420" s="42">
        <v>38.92</v>
      </c>
      <c r="I420" s="42">
        <v>-76.150000000000006</v>
      </c>
      <c r="J420" s="42">
        <v>4.8</v>
      </c>
      <c r="P420" s="59" t="s">
        <v>181</v>
      </c>
      <c r="Q420" s="59"/>
      <c r="R420" s="59" t="s">
        <v>470</v>
      </c>
      <c r="S420" s="59" t="s">
        <v>1644</v>
      </c>
      <c r="T420" s="59" t="s">
        <v>1644</v>
      </c>
      <c r="AC420" s="42" t="s">
        <v>1814</v>
      </c>
      <c r="AD420" s="153" t="str">
        <f t="shared" si="63"/>
        <v>Sunn_hemp</v>
      </c>
      <c r="AE420" s="42" t="s">
        <v>441</v>
      </c>
      <c r="AM420" s="42" t="s">
        <v>428</v>
      </c>
      <c r="AN420" s="42" t="s">
        <v>428</v>
      </c>
      <c r="AO420" s="42" t="s">
        <v>230</v>
      </c>
      <c r="AP420" s="42" t="s">
        <v>208</v>
      </c>
      <c r="AQ420" s="42">
        <v>4</v>
      </c>
      <c r="AR420" s="42">
        <v>4</v>
      </c>
      <c r="AS420" s="42" t="s">
        <v>177</v>
      </c>
      <c r="AW420" s="63"/>
      <c r="BB420" s="42">
        <v>624.39</v>
      </c>
      <c r="BC420" s="42">
        <v>716.8</v>
      </c>
      <c r="DS420" s="12"/>
      <c r="DU420" s="15"/>
      <c r="FC420" s="42">
        <v>23</v>
      </c>
    </row>
    <row r="421" spans="1:159" s="42" customFormat="1" x14ac:dyDescent="0.25">
      <c r="A421" s="42">
        <v>23</v>
      </c>
      <c r="B421" s="42" t="s">
        <v>425</v>
      </c>
      <c r="C421" s="42" t="s">
        <v>426</v>
      </c>
      <c r="D421" s="42">
        <v>2016</v>
      </c>
      <c r="E421" s="42">
        <v>2011</v>
      </c>
      <c r="F421" s="42" t="s">
        <v>448</v>
      </c>
      <c r="G421" s="42" t="s">
        <v>430</v>
      </c>
      <c r="H421" s="42">
        <v>38.92</v>
      </c>
      <c r="I421" s="42">
        <v>-76.150000000000006</v>
      </c>
      <c r="J421" s="42">
        <v>4.8</v>
      </c>
      <c r="P421" s="59" t="s">
        <v>181</v>
      </c>
      <c r="Q421" s="59"/>
      <c r="R421" s="59" t="s">
        <v>459</v>
      </c>
      <c r="S421" s="59" t="s">
        <v>1644</v>
      </c>
      <c r="T421" s="59" t="s">
        <v>1644</v>
      </c>
      <c r="AC421" s="42" t="s">
        <v>1814</v>
      </c>
      <c r="AD421" s="153" t="str">
        <f t="shared" si="63"/>
        <v>Sunn_hemp</v>
      </c>
      <c r="AE421" s="42" t="s">
        <v>441</v>
      </c>
      <c r="AM421" s="42" t="s">
        <v>428</v>
      </c>
      <c r="AN421" s="42" t="s">
        <v>428</v>
      </c>
      <c r="AO421" s="42" t="s">
        <v>230</v>
      </c>
      <c r="AP421" s="42" t="s">
        <v>208</v>
      </c>
      <c r="AQ421" s="42">
        <v>4</v>
      </c>
      <c r="AR421" s="42">
        <v>4</v>
      </c>
      <c r="AS421" s="42" t="s">
        <v>177</v>
      </c>
      <c r="AW421" s="63"/>
      <c r="BB421" s="42">
        <v>663.14</v>
      </c>
      <c r="BC421" s="42">
        <v>603.52</v>
      </c>
      <c r="DS421" s="12"/>
      <c r="DU421" s="15"/>
      <c r="FC421" s="42">
        <v>23</v>
      </c>
    </row>
    <row r="422" spans="1:159" s="42" customFormat="1" x14ac:dyDescent="0.25">
      <c r="A422" s="42">
        <v>23</v>
      </c>
      <c r="B422" s="42" t="s">
        <v>425</v>
      </c>
      <c r="C422" s="42" t="s">
        <v>426</v>
      </c>
      <c r="D422" s="42">
        <v>2016</v>
      </c>
      <c r="E422" s="42">
        <v>2011</v>
      </c>
      <c r="F422" s="42" t="s">
        <v>448</v>
      </c>
      <c r="G422" s="42" t="s">
        <v>430</v>
      </c>
      <c r="H422" s="42">
        <v>38.92</v>
      </c>
      <c r="I422" s="42">
        <v>-76.150000000000006</v>
      </c>
      <c r="J422" s="42">
        <v>4.8</v>
      </c>
      <c r="P422" s="59" t="s">
        <v>181</v>
      </c>
      <c r="Q422" s="59"/>
      <c r="R422" s="59" t="s">
        <v>460</v>
      </c>
      <c r="S422" s="59" t="s">
        <v>1644</v>
      </c>
      <c r="T422" s="59" t="s">
        <v>1644</v>
      </c>
      <c r="AC422" s="42" t="s">
        <v>1814</v>
      </c>
      <c r="AD422" s="153" t="str">
        <f t="shared" si="63"/>
        <v>Sunn_hemp</v>
      </c>
      <c r="AE422" s="42" t="s">
        <v>441</v>
      </c>
      <c r="AM422" s="42" t="s">
        <v>428</v>
      </c>
      <c r="AN422" s="42" t="s">
        <v>428</v>
      </c>
      <c r="AO422" s="42" t="s">
        <v>230</v>
      </c>
      <c r="AP422" s="42" t="s">
        <v>208</v>
      </c>
      <c r="AQ422" s="42">
        <v>4</v>
      </c>
      <c r="AR422" s="42">
        <v>4</v>
      </c>
      <c r="AS422" s="42" t="s">
        <v>177</v>
      </c>
      <c r="AW422" s="63"/>
      <c r="BB422" s="42">
        <v>147.43</v>
      </c>
      <c r="BC422" s="42">
        <v>138.47999999999999</v>
      </c>
      <c r="DS422" s="12"/>
      <c r="DU422" s="15"/>
      <c r="FC422" s="42">
        <v>23</v>
      </c>
    </row>
    <row r="423" spans="1:159" s="42" customFormat="1" x14ac:dyDescent="0.25">
      <c r="A423" s="42">
        <v>23</v>
      </c>
      <c r="B423" s="42" t="s">
        <v>425</v>
      </c>
      <c r="C423" s="42" t="s">
        <v>426</v>
      </c>
      <c r="D423" s="42">
        <v>2016</v>
      </c>
      <c r="E423" s="42">
        <v>2011</v>
      </c>
      <c r="F423" s="42" t="s">
        <v>448</v>
      </c>
      <c r="G423" s="42" t="s">
        <v>430</v>
      </c>
      <c r="H423" s="42">
        <v>38.92</v>
      </c>
      <c r="I423" s="42">
        <v>-76.150000000000006</v>
      </c>
      <c r="J423" s="42">
        <v>4.8</v>
      </c>
      <c r="P423" s="59" t="s">
        <v>181</v>
      </c>
      <c r="Q423" s="59"/>
      <c r="R423" s="59" t="s">
        <v>472</v>
      </c>
      <c r="S423" s="59" t="s">
        <v>1644</v>
      </c>
      <c r="T423" s="59" t="s">
        <v>1644</v>
      </c>
      <c r="AC423" s="42" t="s">
        <v>1814</v>
      </c>
      <c r="AD423" s="153" t="str">
        <f t="shared" si="63"/>
        <v>Sunn_hemp</v>
      </c>
      <c r="AE423" s="42" t="s">
        <v>441</v>
      </c>
      <c r="AM423" s="42" t="s">
        <v>428</v>
      </c>
      <c r="AN423" s="42" t="s">
        <v>428</v>
      </c>
      <c r="AO423" s="42" t="s">
        <v>230</v>
      </c>
      <c r="AP423" s="42" t="s">
        <v>208</v>
      </c>
      <c r="AQ423" s="42">
        <v>4</v>
      </c>
      <c r="AR423" s="42">
        <v>4</v>
      </c>
      <c r="AS423" s="42" t="s">
        <v>177</v>
      </c>
      <c r="AW423" s="63"/>
      <c r="BB423" s="42">
        <v>108.67</v>
      </c>
      <c r="BC423" s="42">
        <v>96.75</v>
      </c>
      <c r="DS423" s="12"/>
      <c r="DU423" s="15"/>
      <c r="FC423" s="42">
        <v>23</v>
      </c>
    </row>
    <row r="424" spans="1:159" s="38" customFormat="1" x14ac:dyDescent="0.25">
      <c r="A424" s="38">
        <v>24</v>
      </c>
      <c r="B424" s="38" t="s">
        <v>475</v>
      </c>
      <c r="C424" s="38" t="s">
        <v>476</v>
      </c>
      <c r="D424" s="38">
        <v>2013</v>
      </c>
      <c r="E424" s="38">
        <v>2003</v>
      </c>
      <c r="F424" s="38" t="s">
        <v>326</v>
      </c>
      <c r="G424" s="38" t="s">
        <v>477</v>
      </c>
      <c r="H424" s="38">
        <v>31.48</v>
      </c>
      <c r="I424" s="38">
        <v>-83.53</v>
      </c>
      <c r="J424" s="38">
        <v>108.4</v>
      </c>
      <c r="K424" s="38">
        <v>19.600000000000001</v>
      </c>
      <c r="L424" s="38">
        <v>18.600000000000001</v>
      </c>
      <c r="M424" s="38">
        <v>976</v>
      </c>
      <c r="N424" s="38">
        <v>1192</v>
      </c>
      <c r="P424" s="57" t="s">
        <v>180</v>
      </c>
      <c r="Q424" s="57"/>
      <c r="R424" s="57"/>
      <c r="S424" s="57" t="s">
        <v>1645</v>
      </c>
      <c r="T424" s="57" t="s">
        <v>1645</v>
      </c>
      <c r="U424" s="38">
        <f t="shared" ref="U424:U432" si="64">(1.55+1.78)/2</f>
        <v>1.665</v>
      </c>
      <c r="X424" s="38" t="s">
        <v>228</v>
      </c>
      <c r="AB424" s="38" t="s">
        <v>1560</v>
      </c>
      <c r="AC424" s="38" t="s">
        <v>1834</v>
      </c>
      <c r="AD424" s="153" t="str">
        <f t="shared" si="63"/>
        <v>Sunn_hemp/Crimson_clover</v>
      </c>
      <c r="AE424" s="38" t="s">
        <v>1630</v>
      </c>
      <c r="AG424" s="38" t="s">
        <v>479</v>
      </c>
      <c r="AH424" s="38" t="s">
        <v>479</v>
      </c>
      <c r="AI424" s="38" t="s">
        <v>230</v>
      </c>
      <c r="AJ424" s="38" t="s">
        <v>289</v>
      </c>
      <c r="AK424" s="38" t="s">
        <v>478</v>
      </c>
      <c r="AL424" s="38" t="s">
        <v>618</v>
      </c>
      <c r="AM424" s="38" t="s">
        <v>407</v>
      </c>
      <c r="AN424" s="38" t="s">
        <v>407</v>
      </c>
      <c r="AO424" s="38" t="s">
        <v>230</v>
      </c>
      <c r="AP424" s="38" t="s">
        <v>154</v>
      </c>
      <c r="AQ424" s="38">
        <v>4</v>
      </c>
      <c r="AR424" s="38">
        <v>4</v>
      </c>
      <c r="AS424" s="38" t="s">
        <v>177</v>
      </c>
      <c r="AU424" s="38">
        <f>(4.4+7.5)/2*1000</f>
        <v>5950</v>
      </c>
      <c r="AV424" s="38">
        <f>AU424/(117+149)</f>
        <v>22.368421052631579</v>
      </c>
      <c r="AW424" s="64"/>
      <c r="BB424" s="38">
        <f>1.3*1000</f>
        <v>1300</v>
      </c>
      <c r="BC424" s="38">
        <f>3.2*1000</f>
        <v>3200</v>
      </c>
      <c r="BE424" s="38">
        <f>(1.64+1.65+1.63+1.65+1.69+1.73+1.66)/7</f>
        <v>1.6642857142857144</v>
      </c>
      <c r="BF424" s="38">
        <f>(1.65+1.63+1.61+1.64+1.65+1.71+1.64)/7</f>
        <v>1.6471428571428572</v>
      </c>
      <c r="BH424" s="38">
        <f>4.6/1000*100</f>
        <v>0.45999999999999996</v>
      </c>
      <c r="BI424" s="38">
        <v>0.74</v>
      </c>
      <c r="BK424" s="38">
        <v>0.2</v>
      </c>
      <c r="BL424" s="38">
        <v>0.5</v>
      </c>
      <c r="CR424" s="38">
        <f>(24.8+17.7)/2</f>
        <v>21.25</v>
      </c>
      <c r="CS424" s="38">
        <f>(23.1+21)/2</f>
        <v>22.05</v>
      </c>
      <c r="DS424" s="12"/>
      <c r="DU424" s="15"/>
      <c r="FA424" s="38" t="s">
        <v>852</v>
      </c>
      <c r="FC424" s="38">
        <v>24</v>
      </c>
    </row>
    <row r="425" spans="1:159" s="38" customFormat="1" x14ac:dyDescent="0.25">
      <c r="A425" s="38">
        <v>24</v>
      </c>
      <c r="B425" s="38" t="s">
        <v>475</v>
      </c>
      <c r="C425" s="38" t="s">
        <v>476</v>
      </c>
      <c r="D425" s="38">
        <v>2013</v>
      </c>
      <c r="E425" s="38">
        <v>2003</v>
      </c>
      <c r="F425" s="38" t="s">
        <v>326</v>
      </c>
      <c r="G425" s="38" t="s">
        <v>477</v>
      </c>
      <c r="H425" s="38">
        <v>31.48</v>
      </c>
      <c r="I425" s="38">
        <v>-83.53</v>
      </c>
      <c r="J425" s="38">
        <v>108.4</v>
      </c>
      <c r="K425" s="38">
        <v>19.600000000000001</v>
      </c>
      <c r="L425" s="38">
        <v>18.600000000000001</v>
      </c>
      <c r="M425" s="38">
        <v>976</v>
      </c>
      <c r="N425" s="38">
        <v>1192</v>
      </c>
      <c r="P425" s="57" t="s">
        <v>180</v>
      </c>
      <c r="Q425" s="57"/>
      <c r="R425" s="57"/>
      <c r="S425" s="57" t="s">
        <v>1645</v>
      </c>
      <c r="T425" s="57" t="s">
        <v>1645</v>
      </c>
      <c r="U425" s="38">
        <f t="shared" si="64"/>
        <v>1.665</v>
      </c>
      <c r="X425" s="38" t="s">
        <v>228</v>
      </c>
      <c r="AB425" s="38" t="s">
        <v>1560</v>
      </c>
      <c r="AC425" s="38" t="s">
        <v>1814</v>
      </c>
      <c r="AD425" s="153" t="str">
        <f t="shared" si="63"/>
        <v>Sunn_hemp</v>
      </c>
      <c r="AE425" s="38" t="s">
        <v>1630</v>
      </c>
      <c r="AG425" s="38" t="s">
        <v>479</v>
      </c>
      <c r="AH425" s="38" t="s">
        <v>479</v>
      </c>
      <c r="AI425" s="38" t="s">
        <v>230</v>
      </c>
      <c r="AJ425" s="38" t="s">
        <v>289</v>
      </c>
      <c r="AK425" s="38" t="s">
        <v>478</v>
      </c>
      <c r="AL425" s="38" t="s">
        <v>618</v>
      </c>
      <c r="AM425" s="38" t="s">
        <v>407</v>
      </c>
      <c r="AN425" s="38" t="s">
        <v>407</v>
      </c>
      <c r="AO425" s="38" t="s">
        <v>230</v>
      </c>
      <c r="AP425" s="38" t="s">
        <v>154</v>
      </c>
      <c r="AQ425" s="38">
        <v>4</v>
      </c>
      <c r="AR425" s="38">
        <v>4</v>
      </c>
      <c r="AS425" s="38" t="s">
        <v>177</v>
      </c>
      <c r="AU425" s="38">
        <f>8.8/2*1000</f>
        <v>4400</v>
      </c>
      <c r="AV425" s="38">
        <f>AU425/181</f>
        <v>24.30939226519337</v>
      </c>
      <c r="AW425" s="64"/>
      <c r="BB425" s="38">
        <f t="shared" ref="BB425:BB426" si="65">1.3*1000</f>
        <v>1300</v>
      </c>
      <c r="BC425" s="38">
        <f>2.4*1000</f>
        <v>2400</v>
      </c>
      <c r="BH425" s="38">
        <f t="shared" ref="BH425:BH426" si="66">4.6/1000*100</f>
        <v>0.45999999999999996</v>
      </c>
      <c r="BI425" s="38">
        <v>0.7</v>
      </c>
      <c r="BK425" s="38">
        <v>0.2</v>
      </c>
      <c r="BL425" s="38">
        <v>0.5</v>
      </c>
      <c r="DS425" s="12"/>
      <c r="DU425" s="15"/>
      <c r="FA425" s="38" t="s">
        <v>852</v>
      </c>
      <c r="FC425" s="38">
        <v>24</v>
      </c>
    </row>
    <row r="426" spans="1:159" s="38" customFormat="1" x14ac:dyDescent="0.25">
      <c r="A426" s="38">
        <v>24</v>
      </c>
      <c r="B426" s="38" t="s">
        <v>475</v>
      </c>
      <c r="C426" s="38" t="s">
        <v>476</v>
      </c>
      <c r="D426" s="38">
        <v>2013</v>
      </c>
      <c r="E426" s="38">
        <v>2003</v>
      </c>
      <c r="F426" s="38" t="s">
        <v>326</v>
      </c>
      <c r="G426" s="38" t="s">
        <v>477</v>
      </c>
      <c r="H426" s="38">
        <v>31.48</v>
      </c>
      <c r="I426" s="38">
        <v>-83.53</v>
      </c>
      <c r="J426" s="38">
        <v>108.4</v>
      </c>
      <c r="K426" s="38">
        <v>19.600000000000001</v>
      </c>
      <c r="L426" s="38">
        <v>18.600000000000001</v>
      </c>
      <c r="M426" s="38">
        <v>976</v>
      </c>
      <c r="N426" s="38">
        <v>1192</v>
      </c>
      <c r="P426" s="57" t="s">
        <v>180</v>
      </c>
      <c r="Q426" s="57"/>
      <c r="R426" s="57"/>
      <c r="S426" s="57" t="s">
        <v>1645</v>
      </c>
      <c r="T426" s="57" t="s">
        <v>1645</v>
      </c>
      <c r="U426" s="38">
        <f t="shared" si="64"/>
        <v>1.665</v>
      </c>
      <c r="X426" s="38" t="s">
        <v>228</v>
      </c>
      <c r="AB426" s="38" t="s">
        <v>1560</v>
      </c>
      <c r="AC426" s="38" t="s">
        <v>1805</v>
      </c>
      <c r="AD426" s="153" t="str">
        <f t="shared" si="63"/>
        <v>Crimson_clover</v>
      </c>
      <c r="AE426" s="38" t="s">
        <v>1630</v>
      </c>
      <c r="AG426" s="38" t="s">
        <v>479</v>
      </c>
      <c r="AH426" s="38" t="s">
        <v>479</v>
      </c>
      <c r="AI426" s="38" t="s">
        <v>230</v>
      </c>
      <c r="AJ426" s="38" t="s">
        <v>289</v>
      </c>
      <c r="AK426" s="38" t="s">
        <v>478</v>
      </c>
      <c r="AL426" s="38" t="s">
        <v>618</v>
      </c>
      <c r="AM426" s="38" t="s">
        <v>407</v>
      </c>
      <c r="AN426" s="38" t="s">
        <v>407</v>
      </c>
      <c r="AO426" s="38" t="s">
        <v>230</v>
      </c>
      <c r="AP426" s="38" t="s">
        <v>154</v>
      </c>
      <c r="AQ426" s="38">
        <v>4</v>
      </c>
      <c r="AR426" s="38">
        <v>4</v>
      </c>
      <c r="AS426" s="38" t="s">
        <v>177</v>
      </c>
      <c r="AU426" s="38">
        <f>5/2*1000</f>
        <v>2500</v>
      </c>
      <c r="AV426" s="38">
        <f>AU426/121</f>
        <v>20.66115702479339</v>
      </c>
      <c r="AW426" s="64"/>
      <c r="BB426" s="38">
        <f t="shared" si="65"/>
        <v>1300</v>
      </c>
      <c r="BC426" s="38">
        <f>1.3*1000</f>
        <v>1300</v>
      </c>
      <c r="BH426" s="38">
        <f t="shared" si="66"/>
        <v>0.45999999999999996</v>
      </c>
      <c r="BI426" s="38">
        <v>0.59</v>
      </c>
      <c r="BK426" s="38">
        <v>0.2</v>
      </c>
      <c r="BL426" s="38">
        <v>0.4</v>
      </c>
      <c r="DS426" s="12"/>
      <c r="DU426" s="15"/>
      <c r="FA426" s="38" t="s">
        <v>852</v>
      </c>
      <c r="FC426" s="38">
        <v>24</v>
      </c>
    </row>
    <row r="427" spans="1:159" s="38" customFormat="1" x14ac:dyDescent="0.25">
      <c r="A427" s="38">
        <v>24</v>
      </c>
      <c r="B427" s="38" t="s">
        <v>475</v>
      </c>
      <c r="C427" s="38" t="s">
        <v>476</v>
      </c>
      <c r="D427" s="38">
        <v>2013</v>
      </c>
      <c r="E427" s="38">
        <v>2003</v>
      </c>
      <c r="F427" s="38" t="s">
        <v>326</v>
      </c>
      <c r="G427" s="38" t="s">
        <v>477</v>
      </c>
      <c r="H427" s="38">
        <v>31.48</v>
      </c>
      <c r="I427" s="38">
        <v>-83.53</v>
      </c>
      <c r="J427" s="38">
        <v>108.4</v>
      </c>
      <c r="K427" s="38">
        <v>19.600000000000001</v>
      </c>
      <c r="L427" s="38">
        <v>18.600000000000001</v>
      </c>
      <c r="M427" s="38">
        <v>976</v>
      </c>
      <c r="N427" s="38">
        <v>1192</v>
      </c>
      <c r="P427" s="57" t="s">
        <v>180</v>
      </c>
      <c r="Q427" s="57"/>
      <c r="R427" s="57"/>
      <c r="S427" s="57" t="s">
        <v>1645</v>
      </c>
      <c r="T427" s="57" t="s">
        <v>1645</v>
      </c>
      <c r="U427" s="38">
        <f t="shared" si="64"/>
        <v>1.665</v>
      </c>
      <c r="X427" s="38" t="s">
        <v>228</v>
      </c>
      <c r="AB427" s="38" t="s">
        <v>1560</v>
      </c>
      <c r="AC427" s="38" t="s">
        <v>1834</v>
      </c>
      <c r="AD427" s="153" t="str">
        <f t="shared" si="63"/>
        <v>Sunn_hemp/Crimson_clover</v>
      </c>
      <c r="AE427" s="38" t="s">
        <v>1630</v>
      </c>
      <c r="AG427" s="38" t="s">
        <v>479</v>
      </c>
      <c r="AH427" s="38" t="s">
        <v>479</v>
      </c>
      <c r="AI427" s="38" t="s">
        <v>230</v>
      </c>
      <c r="AJ427" s="38" t="s">
        <v>289</v>
      </c>
      <c r="AK427" s="38" t="s">
        <v>478</v>
      </c>
      <c r="AL427" s="38" t="s">
        <v>618</v>
      </c>
      <c r="AM427" s="38" t="s">
        <v>481</v>
      </c>
      <c r="AN427" s="38" t="s">
        <v>481</v>
      </c>
      <c r="AO427" s="38" t="s">
        <v>230</v>
      </c>
      <c r="AP427" s="38" t="s">
        <v>154</v>
      </c>
      <c r="AQ427" s="38">
        <v>4</v>
      </c>
      <c r="AR427" s="38">
        <v>4</v>
      </c>
      <c r="AS427" s="38" t="s">
        <v>177</v>
      </c>
      <c r="AU427" s="38">
        <f>(4.2+6.9)/2*1000</f>
        <v>5550.0000000000009</v>
      </c>
      <c r="AV427" s="38">
        <f>AU427/(116+137)</f>
        <v>21.936758893280636</v>
      </c>
      <c r="AW427" s="64"/>
      <c r="BB427" s="38">
        <f>3.4*1000</f>
        <v>3400</v>
      </c>
      <c r="BC427" s="38">
        <f>3.1*1000</f>
        <v>3100</v>
      </c>
      <c r="BE427" s="38">
        <v>1.65</v>
      </c>
      <c r="BF427" s="38">
        <v>1.63</v>
      </c>
      <c r="BH427" s="38">
        <v>0.5</v>
      </c>
      <c r="BI427" s="38">
        <v>0.73</v>
      </c>
      <c r="BK427" s="38">
        <v>0.3</v>
      </c>
      <c r="BL427" s="38">
        <v>0.5</v>
      </c>
      <c r="CR427" s="38">
        <f>(28.5+37.6)/2</f>
        <v>33.049999999999997</v>
      </c>
      <c r="CS427" s="38">
        <f>(27.2+36.5)/2</f>
        <v>31.85</v>
      </c>
      <c r="DS427" s="12"/>
      <c r="DU427" s="15"/>
      <c r="FA427" s="38" t="s">
        <v>852</v>
      </c>
      <c r="FC427" s="38">
        <v>24</v>
      </c>
    </row>
    <row r="428" spans="1:159" s="38" customFormat="1" x14ac:dyDescent="0.25">
      <c r="A428" s="38">
        <v>24</v>
      </c>
      <c r="B428" s="38" t="s">
        <v>475</v>
      </c>
      <c r="C428" s="38" t="s">
        <v>476</v>
      </c>
      <c r="D428" s="38">
        <v>2013</v>
      </c>
      <c r="E428" s="38">
        <v>2003</v>
      </c>
      <c r="F428" s="38" t="s">
        <v>326</v>
      </c>
      <c r="G428" s="38" t="s">
        <v>477</v>
      </c>
      <c r="H428" s="38">
        <v>31.48</v>
      </c>
      <c r="I428" s="38">
        <v>-83.53</v>
      </c>
      <c r="J428" s="38">
        <v>108.4</v>
      </c>
      <c r="K428" s="38">
        <v>19.600000000000001</v>
      </c>
      <c r="L428" s="38">
        <v>18.600000000000001</v>
      </c>
      <c r="M428" s="38">
        <v>976</v>
      </c>
      <c r="N428" s="38">
        <v>1192</v>
      </c>
      <c r="P428" s="57" t="s">
        <v>180</v>
      </c>
      <c r="Q428" s="57"/>
      <c r="R428" s="57"/>
      <c r="S428" s="57" t="s">
        <v>1645</v>
      </c>
      <c r="T428" s="57" t="s">
        <v>1645</v>
      </c>
      <c r="U428" s="38">
        <f t="shared" si="64"/>
        <v>1.665</v>
      </c>
      <c r="X428" s="38" t="s">
        <v>228</v>
      </c>
      <c r="AB428" s="38" t="s">
        <v>1560</v>
      </c>
      <c r="AC428" s="38" t="s">
        <v>1814</v>
      </c>
      <c r="AD428" s="153" t="str">
        <f t="shared" si="63"/>
        <v>Sunn_hemp</v>
      </c>
      <c r="AE428" s="38" t="s">
        <v>1630</v>
      </c>
      <c r="AG428" s="38" t="s">
        <v>479</v>
      </c>
      <c r="AH428" s="38" t="s">
        <v>479</v>
      </c>
      <c r="AI428" s="38" t="s">
        <v>230</v>
      </c>
      <c r="AJ428" s="38" t="s">
        <v>289</v>
      </c>
      <c r="AK428" s="38" t="s">
        <v>478</v>
      </c>
      <c r="AL428" s="38" t="s">
        <v>618</v>
      </c>
      <c r="AM428" s="38" t="s">
        <v>481</v>
      </c>
      <c r="AN428" s="38" t="s">
        <v>481</v>
      </c>
      <c r="AO428" s="38" t="s">
        <v>230</v>
      </c>
      <c r="AP428" s="38" t="s">
        <v>154</v>
      </c>
      <c r="AQ428" s="38">
        <v>4</v>
      </c>
      <c r="AR428" s="38">
        <v>4</v>
      </c>
      <c r="AS428" s="38" t="s">
        <v>177</v>
      </c>
      <c r="AU428" s="38">
        <f>9.8/2*1000</f>
        <v>4900</v>
      </c>
      <c r="AV428" s="38">
        <f>AU428/193</f>
        <v>25.388601036269431</v>
      </c>
      <c r="AW428" s="64"/>
      <c r="BB428" s="38">
        <f t="shared" ref="BB428:BB429" si="67">3.4*1000</f>
        <v>3400</v>
      </c>
      <c r="BC428" s="38">
        <f>3.8*1000</f>
        <v>3800</v>
      </c>
      <c r="BH428" s="38">
        <v>0.5</v>
      </c>
      <c r="BI428" s="38">
        <v>0.74</v>
      </c>
      <c r="BK428" s="38">
        <v>0.3</v>
      </c>
      <c r="BL428" s="38">
        <v>0.5</v>
      </c>
      <c r="DS428" s="12"/>
      <c r="DU428" s="15"/>
      <c r="FA428" s="38" t="s">
        <v>852</v>
      </c>
      <c r="FC428" s="38">
        <v>24</v>
      </c>
    </row>
    <row r="429" spans="1:159" s="38" customFormat="1" x14ac:dyDescent="0.25">
      <c r="A429" s="38">
        <v>24</v>
      </c>
      <c r="B429" s="38" t="s">
        <v>475</v>
      </c>
      <c r="C429" s="38" t="s">
        <v>476</v>
      </c>
      <c r="D429" s="38">
        <v>2013</v>
      </c>
      <c r="E429" s="38">
        <v>2003</v>
      </c>
      <c r="F429" s="38" t="s">
        <v>326</v>
      </c>
      <c r="G429" s="38" t="s">
        <v>477</v>
      </c>
      <c r="H429" s="38">
        <v>31.48</v>
      </c>
      <c r="I429" s="38">
        <v>-83.53</v>
      </c>
      <c r="J429" s="38">
        <v>108.4</v>
      </c>
      <c r="K429" s="38">
        <v>19.600000000000001</v>
      </c>
      <c r="L429" s="38">
        <v>18.600000000000001</v>
      </c>
      <c r="M429" s="38">
        <v>976</v>
      </c>
      <c r="N429" s="38">
        <v>1192</v>
      </c>
      <c r="P429" s="57" t="s">
        <v>180</v>
      </c>
      <c r="Q429" s="57"/>
      <c r="R429" s="57"/>
      <c r="S429" s="57" t="s">
        <v>1645</v>
      </c>
      <c r="T429" s="57" t="s">
        <v>1645</v>
      </c>
      <c r="U429" s="38">
        <f t="shared" si="64"/>
        <v>1.665</v>
      </c>
      <c r="X429" s="38" t="s">
        <v>228</v>
      </c>
      <c r="AB429" s="38" t="s">
        <v>1560</v>
      </c>
      <c r="AC429" s="38" t="s">
        <v>1805</v>
      </c>
      <c r="AD429" s="153" t="str">
        <f t="shared" si="63"/>
        <v>Crimson_clover</v>
      </c>
      <c r="AE429" s="38" t="s">
        <v>1630</v>
      </c>
      <c r="AG429" s="38" t="s">
        <v>479</v>
      </c>
      <c r="AH429" s="38" t="s">
        <v>479</v>
      </c>
      <c r="AI429" s="38" t="s">
        <v>230</v>
      </c>
      <c r="AJ429" s="38" t="s">
        <v>289</v>
      </c>
      <c r="AK429" s="38" t="s">
        <v>478</v>
      </c>
      <c r="AL429" s="38" t="s">
        <v>618</v>
      </c>
      <c r="AM429" s="38" t="s">
        <v>481</v>
      </c>
      <c r="AN429" s="38" t="s">
        <v>481</v>
      </c>
      <c r="AO429" s="38" t="s">
        <v>230</v>
      </c>
      <c r="AP429" s="38" t="s">
        <v>154</v>
      </c>
      <c r="AQ429" s="38">
        <v>4</v>
      </c>
      <c r="AR429" s="38">
        <v>4</v>
      </c>
      <c r="AS429" s="38" t="s">
        <v>177</v>
      </c>
      <c r="AU429" s="38">
        <f>3.3/2*1000</f>
        <v>1650</v>
      </c>
      <c r="AV429" s="38">
        <f>AU429/83</f>
        <v>19.879518072289155</v>
      </c>
      <c r="AW429" s="64"/>
      <c r="BB429" s="38">
        <f t="shared" si="67"/>
        <v>3400</v>
      </c>
      <c r="BC429" s="38">
        <f>2.5*1000</f>
        <v>2500</v>
      </c>
      <c r="BH429" s="38">
        <v>0.5</v>
      </c>
      <c r="BI429" s="38">
        <v>0.54</v>
      </c>
      <c r="BK429" s="38">
        <v>0.3</v>
      </c>
      <c r="BL429" s="38">
        <v>0.3</v>
      </c>
      <c r="DS429" s="12"/>
      <c r="DU429" s="15"/>
      <c r="FA429" s="38" t="s">
        <v>852</v>
      </c>
      <c r="FC429" s="38">
        <v>24</v>
      </c>
    </row>
    <row r="430" spans="1:159" s="38" customFormat="1" x14ac:dyDescent="0.25">
      <c r="A430" s="38">
        <v>24</v>
      </c>
      <c r="B430" s="38" t="s">
        <v>475</v>
      </c>
      <c r="C430" s="38" t="s">
        <v>476</v>
      </c>
      <c r="D430" s="38">
        <v>2013</v>
      </c>
      <c r="E430" s="38">
        <v>2003</v>
      </c>
      <c r="F430" s="38" t="s">
        <v>326</v>
      </c>
      <c r="G430" s="38" t="s">
        <v>477</v>
      </c>
      <c r="H430" s="38">
        <v>31.48</v>
      </c>
      <c r="I430" s="38">
        <v>-83.53</v>
      </c>
      <c r="J430" s="38">
        <v>108.4</v>
      </c>
      <c r="K430" s="38">
        <v>19.600000000000001</v>
      </c>
      <c r="L430" s="38">
        <v>18.600000000000001</v>
      </c>
      <c r="M430" s="38">
        <v>976</v>
      </c>
      <c r="N430" s="38">
        <v>1192</v>
      </c>
      <c r="P430" s="57" t="s">
        <v>180</v>
      </c>
      <c r="Q430" s="57"/>
      <c r="R430" s="57"/>
      <c r="S430" s="57" t="s">
        <v>1645</v>
      </c>
      <c r="T430" s="57" t="s">
        <v>1645</v>
      </c>
      <c r="U430" s="38">
        <f t="shared" si="64"/>
        <v>1.665</v>
      </c>
      <c r="X430" s="38" t="s">
        <v>228</v>
      </c>
      <c r="AB430" s="38" t="s">
        <v>1560</v>
      </c>
      <c r="AC430" s="38" t="s">
        <v>1834</v>
      </c>
      <c r="AD430" s="153" t="str">
        <f t="shared" si="63"/>
        <v>Sunn_hemp/Crimson_clover</v>
      </c>
      <c r="AE430" s="38" t="s">
        <v>1630</v>
      </c>
      <c r="AG430" s="38" t="s">
        <v>479</v>
      </c>
      <c r="AH430" s="38" t="s">
        <v>479</v>
      </c>
      <c r="AI430" s="38" t="s">
        <v>230</v>
      </c>
      <c r="AJ430" s="38" t="s">
        <v>289</v>
      </c>
      <c r="AK430" s="38" t="s">
        <v>478</v>
      </c>
      <c r="AL430" s="38" t="s">
        <v>618</v>
      </c>
      <c r="AM430" s="38" t="s">
        <v>480</v>
      </c>
      <c r="AN430" s="38" t="s">
        <v>480</v>
      </c>
      <c r="AO430" s="38" t="s">
        <v>230</v>
      </c>
      <c r="AP430" s="38" t="s">
        <v>154</v>
      </c>
      <c r="AQ430" s="38">
        <v>4</v>
      </c>
      <c r="AR430" s="38">
        <v>4</v>
      </c>
      <c r="AS430" s="38" t="s">
        <v>177</v>
      </c>
      <c r="AU430" s="38">
        <f>(4.9+7.6)/2*1000</f>
        <v>6250</v>
      </c>
      <c r="AV430" s="38">
        <f>AU430/(116+171)</f>
        <v>21.777003484320556</v>
      </c>
      <c r="AW430" s="64"/>
      <c r="BB430" s="38">
        <f>3.9*1000</f>
        <v>3900</v>
      </c>
      <c r="BC430" s="38">
        <f>4.6*1000</f>
        <v>4600</v>
      </c>
      <c r="BE430" s="38">
        <v>1.73</v>
      </c>
      <c r="BF430" s="38">
        <v>1.71</v>
      </c>
      <c r="BH430" s="38">
        <v>0.56000000000000005</v>
      </c>
      <c r="BI430" s="38">
        <v>0.7</v>
      </c>
      <c r="BK430" s="38">
        <v>0.3</v>
      </c>
      <c r="BL430" s="38">
        <v>1.5</v>
      </c>
      <c r="CR430" s="38">
        <f>(27+22.8+18)/3</f>
        <v>22.599999999999998</v>
      </c>
      <c r="CS430" s="38">
        <f>(33.1+24.1+19.4)/3</f>
        <v>25.533333333333331</v>
      </c>
      <c r="DS430" s="12"/>
      <c r="DU430" s="15"/>
      <c r="FA430" s="38" t="s">
        <v>852</v>
      </c>
      <c r="FC430" s="38">
        <v>24</v>
      </c>
    </row>
    <row r="431" spans="1:159" s="38" customFormat="1" x14ac:dyDescent="0.25">
      <c r="A431" s="38">
        <v>24</v>
      </c>
      <c r="B431" s="38" t="s">
        <v>475</v>
      </c>
      <c r="C431" s="38" t="s">
        <v>476</v>
      </c>
      <c r="D431" s="38">
        <v>2013</v>
      </c>
      <c r="E431" s="38">
        <v>2003</v>
      </c>
      <c r="F431" s="38" t="s">
        <v>326</v>
      </c>
      <c r="G431" s="38" t="s">
        <v>477</v>
      </c>
      <c r="H431" s="38">
        <v>31.48</v>
      </c>
      <c r="I431" s="38">
        <v>-83.53</v>
      </c>
      <c r="J431" s="38">
        <v>108.4</v>
      </c>
      <c r="K431" s="38">
        <v>19.600000000000001</v>
      </c>
      <c r="L431" s="38">
        <v>18.600000000000001</v>
      </c>
      <c r="M431" s="38">
        <v>976</v>
      </c>
      <c r="N431" s="38">
        <v>1192</v>
      </c>
      <c r="P431" s="57" t="s">
        <v>180</v>
      </c>
      <c r="Q431" s="57"/>
      <c r="R431" s="57"/>
      <c r="S431" s="57" t="s">
        <v>1645</v>
      </c>
      <c r="T431" s="57" t="s">
        <v>1645</v>
      </c>
      <c r="U431" s="38">
        <f t="shared" si="64"/>
        <v>1.665</v>
      </c>
      <c r="X431" s="38" t="s">
        <v>228</v>
      </c>
      <c r="AB431" s="38" t="s">
        <v>1560</v>
      </c>
      <c r="AC431" s="38" t="s">
        <v>1814</v>
      </c>
      <c r="AD431" s="153" t="str">
        <f t="shared" si="63"/>
        <v>Sunn_hemp</v>
      </c>
      <c r="AE431" s="38" t="s">
        <v>1630</v>
      </c>
      <c r="AG431" s="38" t="s">
        <v>479</v>
      </c>
      <c r="AH431" s="38" t="s">
        <v>479</v>
      </c>
      <c r="AI431" s="38" t="s">
        <v>230</v>
      </c>
      <c r="AJ431" s="38" t="s">
        <v>289</v>
      </c>
      <c r="AK431" s="38" t="s">
        <v>478</v>
      </c>
      <c r="AL431" s="38" t="s">
        <v>618</v>
      </c>
      <c r="AM431" s="38" t="s">
        <v>480</v>
      </c>
      <c r="AN431" s="38" t="s">
        <v>480</v>
      </c>
      <c r="AO431" s="38" t="s">
        <v>230</v>
      </c>
      <c r="AP431" s="38" t="s">
        <v>154</v>
      </c>
      <c r="AQ431" s="38">
        <v>4</v>
      </c>
      <c r="AR431" s="38">
        <v>4</v>
      </c>
      <c r="AS431" s="38" t="s">
        <v>177</v>
      </c>
      <c r="AU431" s="38">
        <f>9.3/2*1000</f>
        <v>4650</v>
      </c>
      <c r="AV431" s="38">
        <f>AU431/173</f>
        <v>26.878612716763005</v>
      </c>
      <c r="AW431" s="64"/>
      <c r="BB431" s="38">
        <f t="shared" ref="BB431:BB432" si="68">3.9*1000</f>
        <v>3900</v>
      </c>
      <c r="BC431" s="38">
        <f>5.3*1000</f>
        <v>5300</v>
      </c>
      <c r="BH431" s="38">
        <v>0.56000000000000005</v>
      </c>
      <c r="BI431" s="38">
        <v>0.73</v>
      </c>
      <c r="BK431" s="38">
        <v>0.3</v>
      </c>
      <c r="BL431" s="38">
        <v>0.5</v>
      </c>
      <c r="DS431" s="12"/>
      <c r="DU431" s="15"/>
      <c r="FA431" s="38" t="s">
        <v>852</v>
      </c>
      <c r="FC431" s="38">
        <v>24</v>
      </c>
    </row>
    <row r="432" spans="1:159" s="38" customFormat="1" x14ac:dyDescent="0.25">
      <c r="A432" s="38">
        <v>24</v>
      </c>
      <c r="B432" s="38" t="s">
        <v>475</v>
      </c>
      <c r="C432" s="38" t="s">
        <v>476</v>
      </c>
      <c r="D432" s="38">
        <v>2013</v>
      </c>
      <c r="E432" s="38">
        <v>2003</v>
      </c>
      <c r="F432" s="38" t="s">
        <v>326</v>
      </c>
      <c r="G432" s="38" t="s">
        <v>477</v>
      </c>
      <c r="H432" s="38">
        <v>31.48</v>
      </c>
      <c r="I432" s="38">
        <v>-83.53</v>
      </c>
      <c r="J432" s="38">
        <v>108.4</v>
      </c>
      <c r="K432" s="38">
        <v>19.600000000000001</v>
      </c>
      <c r="L432" s="38">
        <v>18.600000000000001</v>
      </c>
      <c r="M432" s="38">
        <v>976</v>
      </c>
      <c r="N432" s="38">
        <v>1192</v>
      </c>
      <c r="P432" s="57" t="s">
        <v>180</v>
      </c>
      <c r="Q432" s="57"/>
      <c r="R432" s="57"/>
      <c r="S432" s="57" t="s">
        <v>1645</v>
      </c>
      <c r="T432" s="57" t="s">
        <v>1645</v>
      </c>
      <c r="U432" s="38">
        <f t="shared" si="64"/>
        <v>1.665</v>
      </c>
      <c r="X432" s="38" t="s">
        <v>228</v>
      </c>
      <c r="AB432" s="38" t="s">
        <v>1560</v>
      </c>
      <c r="AC432" s="38" t="s">
        <v>1805</v>
      </c>
      <c r="AD432" s="153" t="str">
        <f t="shared" si="63"/>
        <v>Crimson_clover</v>
      </c>
      <c r="AE432" s="38" t="s">
        <v>1630</v>
      </c>
      <c r="AG432" s="38" t="s">
        <v>479</v>
      </c>
      <c r="AH432" s="38" t="s">
        <v>479</v>
      </c>
      <c r="AI432" s="38" t="s">
        <v>230</v>
      </c>
      <c r="AJ432" s="38" t="s">
        <v>289</v>
      </c>
      <c r="AK432" s="38" t="s">
        <v>478</v>
      </c>
      <c r="AL432" s="38" t="s">
        <v>618</v>
      </c>
      <c r="AM432" s="38" t="s">
        <v>480</v>
      </c>
      <c r="AN432" s="38" t="s">
        <v>480</v>
      </c>
      <c r="AO432" s="38" t="s">
        <v>230</v>
      </c>
      <c r="AP432" s="38" t="s">
        <v>154</v>
      </c>
      <c r="AQ432" s="38">
        <v>4</v>
      </c>
      <c r="AR432" s="38">
        <v>4</v>
      </c>
      <c r="AS432" s="38" t="s">
        <v>177</v>
      </c>
      <c r="AU432" s="38">
        <f>3.5/2*1000</f>
        <v>1750</v>
      </c>
      <c r="AV432" s="38">
        <f>AU432/90</f>
        <v>19.444444444444443</v>
      </c>
      <c r="AW432" s="64"/>
      <c r="BB432" s="38">
        <f t="shared" si="68"/>
        <v>3900</v>
      </c>
      <c r="BC432" s="38">
        <f>3.5*1000</f>
        <v>3500</v>
      </c>
      <c r="BH432" s="38">
        <v>0.56000000000000005</v>
      </c>
      <c r="BI432" s="38">
        <v>0.52</v>
      </c>
      <c r="BK432" s="38">
        <v>0.3</v>
      </c>
      <c r="BL432" s="38">
        <v>0.3</v>
      </c>
      <c r="DS432" s="12"/>
      <c r="DU432" s="15"/>
      <c r="FA432" s="38" t="s">
        <v>852</v>
      </c>
      <c r="FC432" s="38">
        <v>24</v>
      </c>
    </row>
    <row r="433" spans="1:159" s="42" customFormat="1" x14ac:dyDescent="0.25">
      <c r="A433" s="42">
        <v>25</v>
      </c>
      <c r="B433" s="42" t="s">
        <v>483</v>
      </c>
      <c r="C433" s="42" t="s">
        <v>484</v>
      </c>
      <c r="D433" s="42">
        <v>2009</v>
      </c>
      <c r="E433" s="42">
        <v>2004</v>
      </c>
      <c r="F433" s="42" t="s">
        <v>357</v>
      </c>
      <c r="G433" s="42" t="s">
        <v>487</v>
      </c>
      <c r="H433" s="42">
        <f>(44+53/60+44+22/60+42+44/60+42+52/60)/4</f>
        <v>43.712499999999999</v>
      </c>
      <c r="I433" s="42">
        <f>(-73-28/60-73-26/60-76-39/60-70-3/60)/4</f>
        <v>-73.400000000000006</v>
      </c>
      <c r="J433" s="42">
        <v>301</v>
      </c>
      <c r="P433" s="59" t="s">
        <v>180</v>
      </c>
      <c r="Q433" s="59"/>
      <c r="R433" s="59"/>
      <c r="S433" s="59" t="s">
        <v>1647</v>
      </c>
      <c r="T433" s="59" t="s">
        <v>1647</v>
      </c>
      <c r="V433" s="42">
        <f>(212+195+408+470)/(212+195+408+470+726+491+484+445+62+314+108+85)*100</f>
        <v>32.125</v>
      </c>
      <c r="W433" s="42">
        <f>(726+491+484+445)/(212+195+408+470+726+491+484+445+62+314+108+85)*100</f>
        <v>53.65</v>
      </c>
      <c r="X433" s="42" t="s">
        <v>168</v>
      </c>
      <c r="AB433" s="42" t="s">
        <v>1561</v>
      </c>
      <c r="AC433" s="42" t="s">
        <v>166</v>
      </c>
      <c r="AD433" s="153" t="str">
        <f t="shared" si="63"/>
        <v>Rye</v>
      </c>
      <c r="AE433" s="42" t="s">
        <v>770</v>
      </c>
      <c r="AG433" s="42" t="s">
        <v>485</v>
      </c>
      <c r="AH433" s="42" t="s">
        <v>485</v>
      </c>
      <c r="AI433" s="42" t="s">
        <v>230</v>
      </c>
      <c r="AJ433" s="42" t="s">
        <v>488</v>
      </c>
      <c r="AK433" s="42" t="s">
        <v>488</v>
      </c>
      <c r="AL433" s="42" t="s">
        <v>230</v>
      </c>
      <c r="AP433" s="42" t="s">
        <v>208</v>
      </c>
      <c r="AQ433" s="42">
        <v>4</v>
      </c>
      <c r="AR433" s="42">
        <v>4</v>
      </c>
      <c r="AS433" s="42" t="s">
        <v>177</v>
      </c>
      <c r="AW433" s="63"/>
      <c r="BH433" s="42">
        <f>21/1000*100</f>
        <v>2.1</v>
      </c>
      <c r="BI433" s="42">
        <v>2</v>
      </c>
      <c r="BN433" s="42">
        <v>10.9</v>
      </c>
      <c r="BO433" s="42">
        <v>11.5</v>
      </c>
      <c r="BQ433" s="42">
        <v>58</v>
      </c>
      <c r="BR433" s="42">
        <v>57</v>
      </c>
      <c r="BT433" s="42">
        <v>7.24</v>
      </c>
      <c r="BU433" s="42">
        <v>7.22</v>
      </c>
      <c r="BW433" s="42" t="s">
        <v>1395</v>
      </c>
      <c r="BX433" s="42" t="s">
        <v>1395</v>
      </c>
      <c r="CF433" s="42">
        <f>16.5*10</f>
        <v>165</v>
      </c>
      <c r="CG433" s="42">
        <v>160</v>
      </c>
      <c r="DJ433" s="42">
        <v>0.11700000000000001</v>
      </c>
      <c r="DK433" s="42">
        <v>0.11799999999999999</v>
      </c>
      <c r="DL433" s="42" t="s">
        <v>490</v>
      </c>
      <c r="DS433" s="12">
        <v>5</v>
      </c>
      <c r="DT433" s="42">
        <v>5</v>
      </c>
      <c r="DU433" s="42" t="s">
        <v>493</v>
      </c>
      <c r="DV433" s="42">
        <v>501</v>
      </c>
      <c r="DW433" s="42">
        <v>510</v>
      </c>
      <c r="DX433" s="42" t="s">
        <v>492</v>
      </c>
      <c r="DY433" s="42">
        <v>3.41</v>
      </c>
      <c r="DZ433" s="42">
        <v>3.76</v>
      </c>
      <c r="EA433" s="42" t="s">
        <v>753</v>
      </c>
      <c r="EW433" s="42">
        <v>99999</v>
      </c>
      <c r="FA433" s="42" t="s">
        <v>494</v>
      </c>
      <c r="FB433" s="42" t="s">
        <v>865</v>
      </c>
      <c r="FC433" s="42">
        <v>25</v>
      </c>
    </row>
    <row r="434" spans="1:159" s="42" customFormat="1" x14ac:dyDescent="0.25">
      <c r="A434" s="42">
        <v>25</v>
      </c>
      <c r="B434" s="42" t="s">
        <v>483</v>
      </c>
      <c r="C434" s="42" t="s">
        <v>484</v>
      </c>
      <c r="D434" s="42">
        <v>2009</v>
      </c>
      <c r="E434" s="42">
        <v>2004</v>
      </c>
      <c r="F434" s="42" t="s">
        <v>357</v>
      </c>
      <c r="G434" s="42" t="s">
        <v>487</v>
      </c>
      <c r="H434" s="42">
        <f>(44+53/60+44+22/60+42+44/60+42+52/60)/4</f>
        <v>43.712499999999999</v>
      </c>
      <c r="I434" s="42">
        <f>(-73-28/60-73-26/60-76-39/60-70-3/60)/4</f>
        <v>-73.400000000000006</v>
      </c>
      <c r="J434" s="42">
        <v>301</v>
      </c>
      <c r="P434" s="59" t="s">
        <v>180</v>
      </c>
      <c r="Q434" s="59"/>
      <c r="R434" s="59"/>
      <c r="S434" s="59" t="s">
        <v>1647</v>
      </c>
      <c r="T434" s="59" t="s">
        <v>1647</v>
      </c>
      <c r="V434" s="42">
        <f>(212+195+408+470)/(212+195+408+470+726+491+484+445+62+314+108+85)*100</f>
        <v>32.125</v>
      </c>
      <c r="W434" s="42">
        <f>(726+491+484+445)/(212+195+408+470+726+491+484+445+62+314+108+85)*100</f>
        <v>53.65</v>
      </c>
      <c r="X434" s="42" t="s">
        <v>168</v>
      </c>
      <c r="AB434" s="42" t="s">
        <v>1561</v>
      </c>
      <c r="AC434" s="42" t="s">
        <v>166</v>
      </c>
      <c r="AD434" s="153" t="str">
        <f t="shared" si="63"/>
        <v>Rye</v>
      </c>
      <c r="AE434" s="42" t="s">
        <v>770</v>
      </c>
      <c r="AG434" s="42" t="s">
        <v>485</v>
      </c>
      <c r="AH434" s="42" t="s">
        <v>485</v>
      </c>
      <c r="AI434" s="42" t="s">
        <v>230</v>
      </c>
      <c r="AJ434" s="42" t="s">
        <v>488</v>
      </c>
      <c r="AK434" s="42" t="s">
        <v>488</v>
      </c>
      <c r="AL434" s="42" t="s">
        <v>230</v>
      </c>
      <c r="AP434" s="42" t="s">
        <v>208</v>
      </c>
      <c r="AQ434" s="42">
        <v>4</v>
      </c>
      <c r="AR434" s="42">
        <v>4</v>
      </c>
      <c r="AS434" s="42" t="s">
        <v>177</v>
      </c>
      <c r="AW434" s="63"/>
      <c r="BH434" s="42">
        <v>2.1</v>
      </c>
      <c r="BI434" s="42">
        <v>2</v>
      </c>
      <c r="BN434" s="42">
        <v>10.9</v>
      </c>
      <c r="BO434" s="42">
        <v>10.199999999999999</v>
      </c>
      <c r="BQ434" s="42">
        <v>58</v>
      </c>
      <c r="BR434" s="42">
        <v>60</v>
      </c>
      <c r="BT434" s="42">
        <v>7.24</v>
      </c>
      <c r="BU434" s="42">
        <v>7.19</v>
      </c>
      <c r="BW434" s="42" t="s">
        <v>1395</v>
      </c>
      <c r="BX434" s="42" t="s">
        <v>1395</v>
      </c>
      <c r="CF434" s="42">
        <f>16.5*10</f>
        <v>165</v>
      </c>
      <c r="CG434" s="42">
        <v>177</v>
      </c>
      <c r="DJ434" s="42">
        <v>0.11700000000000001</v>
      </c>
      <c r="DK434" s="42">
        <v>0.12</v>
      </c>
      <c r="DL434" s="42" t="s">
        <v>490</v>
      </c>
      <c r="DS434" s="12">
        <v>5</v>
      </c>
      <c r="DT434" s="42">
        <v>5.0999999999999996</v>
      </c>
      <c r="DU434" s="42" t="s">
        <v>493</v>
      </c>
      <c r="DV434" s="42">
        <v>501</v>
      </c>
      <c r="DW434" s="42">
        <v>492</v>
      </c>
      <c r="DX434" s="42" t="s">
        <v>492</v>
      </c>
      <c r="DY434" s="42">
        <v>3.41</v>
      </c>
      <c r="DZ434" s="42">
        <v>6.27</v>
      </c>
      <c r="EA434" s="42" t="s">
        <v>753</v>
      </c>
      <c r="EW434" s="42">
        <v>99999</v>
      </c>
      <c r="FA434" s="42" t="s">
        <v>494</v>
      </c>
      <c r="FB434" s="42" t="s">
        <v>865</v>
      </c>
      <c r="FC434" s="42">
        <v>25</v>
      </c>
    </row>
    <row r="435" spans="1:159" s="42" customFormat="1" x14ac:dyDescent="0.25">
      <c r="A435" s="42">
        <v>25</v>
      </c>
      <c r="B435" s="42" t="s">
        <v>483</v>
      </c>
      <c r="C435" s="42" t="s">
        <v>484</v>
      </c>
      <c r="D435" s="42">
        <v>2009</v>
      </c>
      <c r="E435" s="42">
        <v>2004</v>
      </c>
      <c r="F435" s="42" t="s">
        <v>357</v>
      </c>
      <c r="G435" s="42" t="s">
        <v>487</v>
      </c>
      <c r="H435" s="42">
        <f>(44+53/60+44+22/60+42+44/60+42+52/60)/4</f>
        <v>43.712499999999999</v>
      </c>
      <c r="I435" s="42">
        <f>(-73-28/60-73-26/60-76-39/60-70-3/60)/4</f>
        <v>-73.400000000000006</v>
      </c>
      <c r="J435" s="42">
        <v>301</v>
      </c>
      <c r="P435" s="59" t="s">
        <v>180</v>
      </c>
      <c r="Q435" s="59"/>
      <c r="R435" s="59"/>
      <c r="S435" s="59" t="s">
        <v>1647</v>
      </c>
      <c r="T435" s="59" t="s">
        <v>1647</v>
      </c>
      <c r="V435" s="42">
        <f>(212+195+408+470)/(212+195+408+470+726+491+484+445+62+314+108+85)*100</f>
        <v>32.125</v>
      </c>
      <c r="W435" s="42">
        <f>(726+491+484+445)/(212+195+408+470+726+491+484+445+62+314+108+85)*100</f>
        <v>53.65</v>
      </c>
      <c r="X435" s="42" t="s">
        <v>168</v>
      </c>
      <c r="AB435" s="42" t="s">
        <v>1561</v>
      </c>
      <c r="AC435" s="42" t="s">
        <v>166</v>
      </c>
      <c r="AD435" s="153" t="str">
        <f t="shared" si="63"/>
        <v>Rye</v>
      </c>
      <c r="AE435" s="42" t="s">
        <v>770</v>
      </c>
      <c r="AG435" s="42" t="s">
        <v>486</v>
      </c>
      <c r="AH435" s="42" t="s">
        <v>486</v>
      </c>
      <c r="AI435" s="42" t="s">
        <v>230</v>
      </c>
      <c r="AJ435" s="42" t="s">
        <v>488</v>
      </c>
      <c r="AK435" s="42" t="s">
        <v>488</v>
      </c>
      <c r="AL435" s="42" t="s">
        <v>230</v>
      </c>
      <c r="AP435" s="42" t="s">
        <v>208</v>
      </c>
      <c r="AQ435" s="42">
        <v>4</v>
      </c>
      <c r="AR435" s="42">
        <v>4</v>
      </c>
      <c r="AS435" s="42" t="s">
        <v>177</v>
      </c>
      <c r="AW435" s="63"/>
      <c r="BH435" s="42">
        <v>2.2999999999999998</v>
      </c>
      <c r="BI435" s="42">
        <v>2.1</v>
      </c>
      <c r="BN435" s="42">
        <v>11</v>
      </c>
      <c r="BO435" s="42">
        <v>10.9</v>
      </c>
      <c r="BQ435" s="42">
        <v>62</v>
      </c>
      <c r="BR435" s="42">
        <v>65</v>
      </c>
      <c r="BT435" s="42">
        <v>7.19</v>
      </c>
      <c r="BU435" s="42">
        <v>7.24</v>
      </c>
      <c r="BW435" s="42" t="s">
        <v>1395</v>
      </c>
      <c r="BX435" s="42" t="s">
        <v>1395</v>
      </c>
      <c r="CF435" s="42">
        <f>21.8*10</f>
        <v>218</v>
      </c>
      <c r="CG435" s="42">
        <v>224</v>
      </c>
      <c r="DJ435" s="42">
        <v>0.121</v>
      </c>
      <c r="DK435" s="42">
        <v>0.124</v>
      </c>
      <c r="DL435" s="42" t="s">
        <v>490</v>
      </c>
      <c r="DS435" s="12">
        <v>5</v>
      </c>
      <c r="DT435" s="42">
        <v>4.7</v>
      </c>
      <c r="DU435" s="42" t="s">
        <v>493</v>
      </c>
      <c r="DV435" s="42">
        <v>549</v>
      </c>
      <c r="DW435" s="42">
        <v>525</v>
      </c>
      <c r="DX435" s="42" t="s">
        <v>492</v>
      </c>
      <c r="DY435" s="42">
        <v>6.94</v>
      </c>
      <c r="DZ435" s="42">
        <v>5.91</v>
      </c>
      <c r="EA435" s="42" t="s">
        <v>753</v>
      </c>
      <c r="EW435" s="42">
        <v>99999</v>
      </c>
      <c r="FA435" s="42" t="s">
        <v>494</v>
      </c>
      <c r="FB435" s="42" t="s">
        <v>865</v>
      </c>
      <c r="FC435" s="42">
        <v>25</v>
      </c>
    </row>
    <row r="436" spans="1:159" s="42" customFormat="1" x14ac:dyDescent="0.25">
      <c r="A436" s="42">
        <v>25</v>
      </c>
      <c r="B436" s="42" t="s">
        <v>483</v>
      </c>
      <c r="C436" s="42" t="s">
        <v>484</v>
      </c>
      <c r="D436" s="42">
        <v>2009</v>
      </c>
      <c r="E436" s="42">
        <v>2004</v>
      </c>
      <c r="F436" s="42" t="s">
        <v>357</v>
      </c>
      <c r="G436" s="42" t="s">
        <v>487</v>
      </c>
      <c r="H436" s="42">
        <f>(44+53/60+44+22/60+42+44/60+42+52/60)/4</f>
        <v>43.712499999999999</v>
      </c>
      <c r="I436" s="42">
        <f>(-73-28/60-73-26/60-76-39/60-70-3/60)/4</f>
        <v>-73.400000000000006</v>
      </c>
      <c r="J436" s="42">
        <v>301</v>
      </c>
      <c r="P436" s="59" t="s">
        <v>180</v>
      </c>
      <c r="Q436" s="59"/>
      <c r="R436" s="59"/>
      <c r="S436" s="59" t="s">
        <v>1647</v>
      </c>
      <c r="T436" s="59" t="s">
        <v>1647</v>
      </c>
      <c r="V436" s="42">
        <f>(212+195+408+470)/(212+195+408+470+726+491+484+445+62+314+108+85)*100</f>
        <v>32.125</v>
      </c>
      <c r="W436" s="42">
        <f>(726+491+484+445)/(212+195+408+470+726+491+484+445+62+314+108+85)*100</f>
        <v>53.65</v>
      </c>
      <c r="X436" s="42" t="s">
        <v>168</v>
      </c>
      <c r="AB436" s="42" t="s">
        <v>1561</v>
      </c>
      <c r="AC436" s="42" t="s">
        <v>166</v>
      </c>
      <c r="AD436" s="153" t="str">
        <f t="shared" si="63"/>
        <v>Rye</v>
      </c>
      <c r="AE436" s="42" t="s">
        <v>770</v>
      </c>
      <c r="AG436" s="42" t="s">
        <v>486</v>
      </c>
      <c r="AH436" s="42" t="s">
        <v>486</v>
      </c>
      <c r="AI436" s="42" t="s">
        <v>230</v>
      </c>
      <c r="AJ436" s="42" t="s">
        <v>488</v>
      </c>
      <c r="AK436" s="42" t="s">
        <v>488</v>
      </c>
      <c r="AL436" s="42" t="s">
        <v>230</v>
      </c>
      <c r="AP436" s="42" t="s">
        <v>208</v>
      </c>
      <c r="AQ436" s="42">
        <v>4</v>
      </c>
      <c r="AR436" s="42">
        <v>4</v>
      </c>
      <c r="AS436" s="42" t="s">
        <v>177</v>
      </c>
      <c r="AW436" s="63"/>
      <c r="BH436" s="42">
        <v>2.2999999999999998</v>
      </c>
      <c r="BI436" s="42">
        <v>2.1</v>
      </c>
      <c r="BN436" s="42">
        <v>11</v>
      </c>
      <c r="BO436" s="42">
        <v>11.6</v>
      </c>
      <c r="BQ436" s="42">
        <v>62</v>
      </c>
      <c r="BR436" s="42">
        <v>63</v>
      </c>
      <c r="BT436" s="42">
        <v>7.19</v>
      </c>
      <c r="BU436" s="42">
        <v>7.29</v>
      </c>
      <c r="BW436" s="42" t="s">
        <v>1395</v>
      </c>
      <c r="BX436" s="42" t="s">
        <v>1395</v>
      </c>
      <c r="CF436" s="42">
        <f>21.8*10</f>
        <v>218</v>
      </c>
      <c r="CG436" s="42">
        <v>214</v>
      </c>
      <c r="DJ436" s="42">
        <v>0.121</v>
      </c>
      <c r="DK436" s="42">
        <v>0.12</v>
      </c>
      <c r="DL436" s="42" t="s">
        <v>490</v>
      </c>
      <c r="DS436" s="12">
        <v>5</v>
      </c>
      <c r="DT436" s="42">
        <v>5</v>
      </c>
      <c r="DU436" s="42" t="s">
        <v>493</v>
      </c>
      <c r="DV436" s="42">
        <v>549</v>
      </c>
      <c r="DW436" s="42">
        <v>527</v>
      </c>
      <c r="DX436" s="42" t="s">
        <v>492</v>
      </c>
      <c r="DY436" s="42">
        <v>6.94</v>
      </c>
      <c r="DZ436" s="42">
        <v>6.42</v>
      </c>
      <c r="EA436" s="42" t="s">
        <v>753</v>
      </c>
      <c r="EW436" s="42">
        <v>99999</v>
      </c>
      <c r="FA436" s="42" t="s">
        <v>494</v>
      </c>
      <c r="FB436" s="42" t="s">
        <v>865</v>
      </c>
      <c r="FC436" s="42">
        <v>25</v>
      </c>
    </row>
    <row r="437" spans="1:159" s="38" customFormat="1" x14ac:dyDescent="0.25">
      <c r="A437" s="38">
        <v>26</v>
      </c>
      <c r="B437" s="38" t="s">
        <v>495</v>
      </c>
      <c r="C437" s="38" t="s">
        <v>496</v>
      </c>
      <c r="D437" s="38">
        <v>2015</v>
      </c>
      <c r="E437" s="38">
        <v>2012</v>
      </c>
      <c r="F437" s="38" t="s">
        <v>357</v>
      </c>
      <c r="G437" s="38" t="s">
        <v>497</v>
      </c>
      <c r="H437" s="38">
        <f>35.39</f>
        <v>35.39</v>
      </c>
      <c r="I437" s="38">
        <f>-78.03</f>
        <v>-78.03</v>
      </c>
      <c r="J437" s="38">
        <v>24.3</v>
      </c>
      <c r="P437" s="57" t="s">
        <v>179</v>
      </c>
      <c r="Q437" s="57"/>
      <c r="R437" s="57" t="s">
        <v>502</v>
      </c>
      <c r="S437" s="57" t="s">
        <v>1647</v>
      </c>
      <c r="T437" s="57" t="s">
        <v>1647</v>
      </c>
      <c r="X437" s="38" t="s">
        <v>228</v>
      </c>
      <c r="AB437" s="38" t="s">
        <v>1562</v>
      </c>
      <c r="AC437" s="38" t="s">
        <v>500</v>
      </c>
      <c r="AD437" s="153" t="str">
        <f t="shared" si="63"/>
        <v>Pea</v>
      </c>
      <c r="AE437" s="38" t="s">
        <v>167</v>
      </c>
      <c r="AJ437" s="38" t="s">
        <v>499</v>
      </c>
      <c r="AK437" s="38" t="s">
        <v>499</v>
      </c>
      <c r="AL437" s="38" t="s">
        <v>230</v>
      </c>
      <c r="AM437" s="38">
        <v>0</v>
      </c>
      <c r="AN437" s="38">
        <v>0</v>
      </c>
      <c r="AO437" s="38" t="s">
        <v>230</v>
      </c>
      <c r="AP437" s="38" t="s">
        <v>208</v>
      </c>
      <c r="AQ437" s="38">
        <v>4</v>
      </c>
      <c r="AR437" s="38">
        <v>4</v>
      </c>
      <c r="AS437" s="38" t="s">
        <v>404</v>
      </c>
      <c r="AU437" s="38">
        <f>(6.5+1.7)*1000</f>
        <v>8200</v>
      </c>
      <c r="AV437" s="38">
        <f>AU437/(205+53)</f>
        <v>31.782945736434108</v>
      </c>
      <c r="AW437" s="64" t="s">
        <v>511</v>
      </c>
      <c r="BK437" s="38">
        <v>10.685</v>
      </c>
      <c r="BL437" s="38">
        <v>29.363800000000001</v>
      </c>
      <c r="BM437" s="38" t="s">
        <v>510</v>
      </c>
      <c r="DS437" s="12"/>
      <c r="DU437" s="15"/>
      <c r="FA437" s="38" t="s">
        <v>513</v>
      </c>
      <c r="FB437" s="38" t="s">
        <v>854</v>
      </c>
      <c r="FC437" s="38">
        <v>26</v>
      </c>
    </row>
    <row r="438" spans="1:159" s="38" customFormat="1" x14ac:dyDescent="0.25">
      <c r="A438" s="38">
        <v>26</v>
      </c>
      <c r="B438" s="38" t="s">
        <v>495</v>
      </c>
      <c r="C438" s="38" t="s">
        <v>496</v>
      </c>
      <c r="D438" s="38">
        <v>2015</v>
      </c>
      <c r="E438" s="38">
        <v>2012</v>
      </c>
      <c r="F438" s="38" t="s">
        <v>357</v>
      </c>
      <c r="G438" s="38" t="s">
        <v>497</v>
      </c>
      <c r="H438" s="38">
        <f>35.39</f>
        <v>35.39</v>
      </c>
      <c r="I438" s="38">
        <f>-78.03</f>
        <v>-78.03</v>
      </c>
      <c r="J438" s="38">
        <v>24.3</v>
      </c>
      <c r="P438" s="57" t="s">
        <v>179</v>
      </c>
      <c r="Q438" s="57"/>
      <c r="R438" s="57" t="s">
        <v>502</v>
      </c>
      <c r="S438" s="57" t="s">
        <v>1647</v>
      </c>
      <c r="T438" s="57" t="s">
        <v>1647</v>
      </c>
      <c r="X438" s="38" t="s">
        <v>228</v>
      </c>
      <c r="AB438" s="38" t="s">
        <v>1562</v>
      </c>
      <c r="AC438" s="38" t="s">
        <v>501</v>
      </c>
      <c r="AD438" s="153" t="str">
        <f t="shared" si="63"/>
        <v>Clover</v>
      </c>
      <c r="AE438" s="38" t="s">
        <v>167</v>
      </c>
      <c r="AJ438" s="38" t="s">
        <v>499</v>
      </c>
      <c r="AK438" s="38" t="s">
        <v>499</v>
      </c>
      <c r="AL438" s="38" t="s">
        <v>230</v>
      </c>
      <c r="AM438" s="38">
        <v>0</v>
      </c>
      <c r="AN438" s="38">
        <v>0</v>
      </c>
      <c r="AO438" s="38" t="s">
        <v>230</v>
      </c>
      <c r="AP438" s="38" t="s">
        <v>208</v>
      </c>
      <c r="AQ438" s="38">
        <v>4</v>
      </c>
      <c r="AR438" s="38">
        <v>4</v>
      </c>
      <c r="AS438" s="38" t="s">
        <v>404</v>
      </c>
      <c r="AU438" s="38">
        <f>(9.6+2.8)*1000</f>
        <v>12399.999999999998</v>
      </c>
      <c r="AV438" s="38">
        <f>AU438/(256+66)</f>
        <v>38.509316770186331</v>
      </c>
      <c r="AW438" s="64" t="s">
        <v>511</v>
      </c>
      <c r="BK438" s="38">
        <v>10.685</v>
      </c>
      <c r="BL438" s="38">
        <v>14.356</v>
      </c>
      <c r="BM438" s="38" t="s">
        <v>510</v>
      </c>
      <c r="DS438" s="12"/>
      <c r="DU438" s="15"/>
      <c r="FA438" s="38" t="s">
        <v>513</v>
      </c>
      <c r="FB438" s="38" t="s">
        <v>854</v>
      </c>
      <c r="FC438" s="38">
        <v>26</v>
      </c>
    </row>
    <row r="439" spans="1:159" s="38" customFormat="1" x14ac:dyDescent="0.25">
      <c r="A439" s="38">
        <v>26</v>
      </c>
      <c r="B439" s="38" t="s">
        <v>495</v>
      </c>
      <c r="C439" s="38" t="s">
        <v>496</v>
      </c>
      <c r="D439" s="38">
        <v>2015</v>
      </c>
      <c r="E439" s="38">
        <v>2012</v>
      </c>
      <c r="F439" s="38" t="s">
        <v>357</v>
      </c>
      <c r="G439" s="38" t="s">
        <v>497</v>
      </c>
      <c r="H439" s="38">
        <f t="shared" ref="H439:H478" si="69">35.39</f>
        <v>35.39</v>
      </c>
      <c r="I439" s="38">
        <f t="shared" ref="I439:I478" si="70">-78.03</f>
        <v>-78.03</v>
      </c>
      <c r="J439" s="38">
        <v>24.3</v>
      </c>
      <c r="P439" s="57" t="s">
        <v>179</v>
      </c>
      <c r="Q439" s="57"/>
      <c r="R439" s="57" t="s">
        <v>502</v>
      </c>
      <c r="S439" s="57" t="s">
        <v>1647</v>
      </c>
      <c r="T439" s="57" t="s">
        <v>1647</v>
      </c>
      <c r="X439" s="38" t="s">
        <v>228</v>
      </c>
      <c r="AB439" s="38" t="s">
        <v>1562</v>
      </c>
      <c r="AC439" s="38" t="s">
        <v>301</v>
      </c>
      <c r="AD439" s="153" t="str">
        <f t="shared" si="63"/>
        <v>Vetch</v>
      </c>
      <c r="AE439" s="38" t="s">
        <v>167</v>
      </c>
      <c r="AJ439" s="38" t="s">
        <v>499</v>
      </c>
      <c r="AK439" s="38" t="s">
        <v>499</v>
      </c>
      <c r="AL439" s="38" t="s">
        <v>230</v>
      </c>
      <c r="AM439" s="38">
        <v>0</v>
      </c>
      <c r="AN439" s="38">
        <v>0</v>
      </c>
      <c r="AO439" s="38" t="s">
        <v>230</v>
      </c>
      <c r="AP439" s="38" t="s">
        <v>208</v>
      </c>
      <c r="AQ439" s="38">
        <v>4</v>
      </c>
      <c r="AR439" s="38">
        <v>4</v>
      </c>
      <c r="AS439" s="38" t="s">
        <v>404</v>
      </c>
      <c r="AU439" s="38">
        <f>(8.7+2.5)*1000</f>
        <v>11200</v>
      </c>
      <c r="AV439" s="38">
        <f>AU439/(288+71)</f>
        <v>31.197771587743734</v>
      </c>
      <c r="AW439" s="64" t="s">
        <v>511</v>
      </c>
      <c r="BK439" s="38">
        <v>10.685</v>
      </c>
      <c r="BL439" s="38">
        <v>29.85</v>
      </c>
      <c r="BM439" s="38" t="s">
        <v>510</v>
      </c>
      <c r="DS439" s="12"/>
      <c r="DU439" s="15"/>
      <c r="FA439" s="38" t="s">
        <v>513</v>
      </c>
      <c r="FB439" s="38" t="s">
        <v>854</v>
      </c>
      <c r="FC439" s="38">
        <v>26</v>
      </c>
    </row>
    <row r="440" spans="1:159" s="38" customFormat="1" x14ac:dyDescent="0.25">
      <c r="A440" s="38">
        <v>26</v>
      </c>
      <c r="B440" s="38" t="s">
        <v>495</v>
      </c>
      <c r="C440" s="38" t="s">
        <v>496</v>
      </c>
      <c r="D440" s="38">
        <v>2015</v>
      </c>
      <c r="E440" s="38">
        <v>2012</v>
      </c>
      <c r="F440" s="38" t="s">
        <v>357</v>
      </c>
      <c r="G440" s="38" t="s">
        <v>497</v>
      </c>
      <c r="H440" s="38">
        <f t="shared" si="69"/>
        <v>35.39</v>
      </c>
      <c r="I440" s="38">
        <f t="shared" si="70"/>
        <v>-78.03</v>
      </c>
      <c r="J440" s="38">
        <v>24.3</v>
      </c>
      <c r="P440" s="57" t="s">
        <v>179</v>
      </c>
      <c r="Q440" s="57"/>
      <c r="R440" s="57" t="s">
        <v>503</v>
      </c>
      <c r="S440" s="57" t="s">
        <v>1647</v>
      </c>
      <c r="T440" s="57" t="s">
        <v>1647</v>
      </c>
      <c r="X440" s="38" t="s">
        <v>228</v>
      </c>
      <c r="AB440" s="38" t="s">
        <v>1562</v>
      </c>
      <c r="AC440" s="38" t="s">
        <v>500</v>
      </c>
      <c r="AD440" s="153" t="str">
        <f t="shared" si="63"/>
        <v>Pea</v>
      </c>
      <c r="AE440" s="38" t="s">
        <v>167</v>
      </c>
      <c r="AJ440" s="38" t="s">
        <v>499</v>
      </c>
      <c r="AK440" s="38" t="s">
        <v>499</v>
      </c>
      <c r="AL440" s="38" t="s">
        <v>230</v>
      </c>
      <c r="AM440" s="38">
        <v>0</v>
      </c>
      <c r="AN440" s="38">
        <v>0</v>
      </c>
      <c r="AO440" s="38" t="s">
        <v>230</v>
      </c>
      <c r="AP440" s="38" t="s">
        <v>208</v>
      </c>
      <c r="AQ440" s="38">
        <v>4</v>
      </c>
      <c r="AR440" s="38">
        <v>4</v>
      </c>
      <c r="AS440" s="38" t="s">
        <v>404</v>
      </c>
      <c r="AU440" s="38">
        <f>(6.5+1.7)*1000</f>
        <v>8200</v>
      </c>
      <c r="AV440" s="38">
        <f>AU440/(205+53)</f>
        <v>31.782945736434108</v>
      </c>
      <c r="AW440" s="64" t="s">
        <v>511</v>
      </c>
      <c r="BK440" s="38">
        <v>14.273999999999999</v>
      </c>
      <c r="BL440" s="38">
        <v>27</v>
      </c>
      <c r="BM440" s="38" t="s">
        <v>510</v>
      </c>
      <c r="DS440" s="12"/>
      <c r="DU440" s="15"/>
      <c r="FA440" s="38" t="s">
        <v>513</v>
      </c>
      <c r="FB440" s="38" t="s">
        <v>854</v>
      </c>
      <c r="FC440" s="38">
        <v>26</v>
      </c>
    </row>
    <row r="441" spans="1:159" s="38" customFormat="1" x14ac:dyDescent="0.25">
      <c r="A441" s="38">
        <v>26</v>
      </c>
      <c r="B441" s="38" t="s">
        <v>495</v>
      </c>
      <c r="C441" s="38" t="s">
        <v>496</v>
      </c>
      <c r="D441" s="38">
        <v>2015</v>
      </c>
      <c r="E441" s="38">
        <v>2012</v>
      </c>
      <c r="F441" s="38" t="s">
        <v>357</v>
      </c>
      <c r="G441" s="38" t="s">
        <v>497</v>
      </c>
      <c r="H441" s="38">
        <f t="shared" si="69"/>
        <v>35.39</v>
      </c>
      <c r="I441" s="38">
        <f t="shared" si="70"/>
        <v>-78.03</v>
      </c>
      <c r="J441" s="38">
        <v>24.3</v>
      </c>
      <c r="P441" s="57" t="s">
        <v>179</v>
      </c>
      <c r="Q441" s="57"/>
      <c r="R441" s="57" t="s">
        <v>503</v>
      </c>
      <c r="S441" s="57" t="s">
        <v>1647</v>
      </c>
      <c r="T441" s="57" t="s">
        <v>1647</v>
      </c>
      <c r="X441" s="38" t="s">
        <v>228</v>
      </c>
      <c r="AB441" s="38" t="s">
        <v>1562</v>
      </c>
      <c r="AC441" s="38" t="s">
        <v>501</v>
      </c>
      <c r="AD441" s="153" t="str">
        <f t="shared" si="63"/>
        <v>Clover</v>
      </c>
      <c r="AE441" s="38" t="s">
        <v>167</v>
      </c>
      <c r="AJ441" s="38" t="s">
        <v>499</v>
      </c>
      <c r="AK441" s="38" t="s">
        <v>499</v>
      </c>
      <c r="AL441" s="38" t="s">
        <v>230</v>
      </c>
      <c r="AM441" s="38">
        <v>0</v>
      </c>
      <c r="AN441" s="38">
        <v>0</v>
      </c>
      <c r="AO441" s="38" t="s">
        <v>230</v>
      </c>
      <c r="AP441" s="38" t="s">
        <v>208</v>
      </c>
      <c r="AQ441" s="38">
        <v>4</v>
      </c>
      <c r="AR441" s="38">
        <v>4</v>
      </c>
      <c r="AS441" s="38" t="s">
        <v>404</v>
      </c>
      <c r="AU441" s="38">
        <f>(9.6+2.8)*1000</f>
        <v>12399.999999999998</v>
      </c>
      <c r="AV441" s="38">
        <f>AU441/(256+66)</f>
        <v>38.509316770186331</v>
      </c>
      <c r="AW441" s="64" t="s">
        <v>511</v>
      </c>
      <c r="BK441" s="38">
        <v>14.273999999999999</v>
      </c>
      <c r="BL441" s="38">
        <v>25.285</v>
      </c>
      <c r="BM441" s="38" t="s">
        <v>510</v>
      </c>
      <c r="DS441" s="12"/>
      <c r="DU441" s="15"/>
      <c r="FA441" s="38" t="s">
        <v>513</v>
      </c>
      <c r="FB441" s="38" t="s">
        <v>854</v>
      </c>
      <c r="FC441" s="38">
        <v>26</v>
      </c>
    </row>
    <row r="442" spans="1:159" s="38" customFormat="1" x14ac:dyDescent="0.25">
      <c r="A442" s="38">
        <v>26</v>
      </c>
      <c r="B442" s="38" t="s">
        <v>495</v>
      </c>
      <c r="C442" s="38" t="s">
        <v>496</v>
      </c>
      <c r="D442" s="38">
        <v>2015</v>
      </c>
      <c r="E442" s="38">
        <v>2012</v>
      </c>
      <c r="F442" s="38" t="s">
        <v>357</v>
      </c>
      <c r="G442" s="38" t="s">
        <v>497</v>
      </c>
      <c r="H442" s="38">
        <f t="shared" si="69"/>
        <v>35.39</v>
      </c>
      <c r="I442" s="38">
        <f t="shared" si="70"/>
        <v>-78.03</v>
      </c>
      <c r="J442" s="38">
        <v>24.3</v>
      </c>
      <c r="P442" s="57" t="s">
        <v>179</v>
      </c>
      <c r="Q442" s="57"/>
      <c r="R442" s="57" t="s">
        <v>503</v>
      </c>
      <c r="S442" s="57" t="s">
        <v>1647</v>
      </c>
      <c r="T442" s="57" t="s">
        <v>1647</v>
      </c>
      <c r="X442" s="38" t="s">
        <v>228</v>
      </c>
      <c r="AB442" s="38" t="s">
        <v>1562</v>
      </c>
      <c r="AC442" s="38" t="s">
        <v>301</v>
      </c>
      <c r="AD442" s="153" t="str">
        <f t="shared" si="63"/>
        <v>Vetch</v>
      </c>
      <c r="AE442" s="38" t="s">
        <v>167</v>
      </c>
      <c r="AJ442" s="38" t="s">
        <v>499</v>
      </c>
      <c r="AK442" s="38" t="s">
        <v>499</v>
      </c>
      <c r="AL442" s="38" t="s">
        <v>230</v>
      </c>
      <c r="AM442" s="38">
        <v>0</v>
      </c>
      <c r="AN442" s="38">
        <v>0</v>
      </c>
      <c r="AO442" s="38" t="s">
        <v>230</v>
      </c>
      <c r="AP442" s="38" t="s">
        <v>208</v>
      </c>
      <c r="AQ442" s="38">
        <v>4</v>
      </c>
      <c r="AR442" s="38">
        <v>4</v>
      </c>
      <c r="AS442" s="38" t="s">
        <v>404</v>
      </c>
      <c r="AU442" s="38">
        <f>(8.7+2.5)*1000</f>
        <v>11200</v>
      </c>
      <c r="AV442" s="38">
        <f>AU442/(288+71)</f>
        <v>31.197771587743734</v>
      </c>
      <c r="AW442" s="64" t="s">
        <v>511</v>
      </c>
      <c r="BK442" s="38">
        <v>14.273999999999999</v>
      </c>
      <c r="BL442" s="38">
        <v>41.191000000000003</v>
      </c>
      <c r="BM442" s="38" t="s">
        <v>510</v>
      </c>
      <c r="DS442" s="12"/>
      <c r="DU442" s="15"/>
      <c r="FA442" s="38" t="s">
        <v>513</v>
      </c>
      <c r="FB442" s="38" t="s">
        <v>854</v>
      </c>
      <c r="FC442" s="38">
        <v>26</v>
      </c>
    </row>
    <row r="443" spans="1:159" s="38" customFormat="1" x14ac:dyDescent="0.25">
      <c r="A443" s="38">
        <v>26</v>
      </c>
      <c r="B443" s="38" t="s">
        <v>495</v>
      </c>
      <c r="C443" s="38" t="s">
        <v>496</v>
      </c>
      <c r="D443" s="38">
        <v>2015</v>
      </c>
      <c r="E443" s="38">
        <v>2012</v>
      </c>
      <c r="F443" s="38" t="s">
        <v>357</v>
      </c>
      <c r="G443" s="38" t="s">
        <v>497</v>
      </c>
      <c r="H443" s="38">
        <f t="shared" si="69"/>
        <v>35.39</v>
      </c>
      <c r="I443" s="38">
        <f t="shared" si="70"/>
        <v>-78.03</v>
      </c>
      <c r="J443" s="38">
        <v>24.3</v>
      </c>
      <c r="P443" s="57" t="s">
        <v>179</v>
      </c>
      <c r="Q443" s="57"/>
      <c r="R443" s="57" t="s">
        <v>504</v>
      </c>
      <c r="S443" s="57" t="s">
        <v>1647</v>
      </c>
      <c r="T443" s="57" t="s">
        <v>1647</v>
      </c>
      <c r="X443" s="38" t="s">
        <v>228</v>
      </c>
      <c r="AB443" s="38" t="s">
        <v>1562</v>
      </c>
      <c r="AC443" s="38" t="s">
        <v>500</v>
      </c>
      <c r="AD443" s="153" t="str">
        <f t="shared" si="63"/>
        <v>Pea</v>
      </c>
      <c r="AE443" s="38" t="s">
        <v>167</v>
      </c>
      <c r="AJ443" s="38" t="s">
        <v>499</v>
      </c>
      <c r="AK443" s="38" t="s">
        <v>499</v>
      </c>
      <c r="AL443" s="38" t="s">
        <v>230</v>
      </c>
      <c r="AM443" s="38">
        <v>0</v>
      </c>
      <c r="AN443" s="38">
        <v>0</v>
      </c>
      <c r="AO443" s="38" t="s">
        <v>230</v>
      </c>
      <c r="AP443" s="38" t="s">
        <v>208</v>
      </c>
      <c r="AQ443" s="38">
        <v>4</v>
      </c>
      <c r="AR443" s="38">
        <v>4</v>
      </c>
      <c r="AS443" s="38" t="s">
        <v>404</v>
      </c>
      <c r="AU443" s="38">
        <f>(6.5+1.7)*1000</f>
        <v>8200</v>
      </c>
      <c r="AV443" s="38">
        <f t="shared" ref="AV443" si="71">AU443/(205+53)</f>
        <v>31.782945736434108</v>
      </c>
      <c r="AW443" s="64" t="s">
        <v>511</v>
      </c>
      <c r="BK443" s="38">
        <v>11.582000000000001</v>
      </c>
      <c r="BL443" s="38">
        <v>36.215000000000003</v>
      </c>
      <c r="BM443" s="38" t="s">
        <v>510</v>
      </c>
      <c r="DS443" s="12"/>
      <c r="DU443" s="15"/>
      <c r="FA443" s="38" t="s">
        <v>513</v>
      </c>
      <c r="FB443" s="38" t="s">
        <v>854</v>
      </c>
      <c r="FC443" s="38">
        <v>26</v>
      </c>
    </row>
    <row r="444" spans="1:159" s="38" customFormat="1" x14ac:dyDescent="0.25">
      <c r="A444" s="38">
        <v>26</v>
      </c>
      <c r="B444" s="38" t="s">
        <v>495</v>
      </c>
      <c r="C444" s="38" t="s">
        <v>496</v>
      </c>
      <c r="D444" s="38">
        <v>2015</v>
      </c>
      <c r="E444" s="38">
        <v>2012</v>
      </c>
      <c r="F444" s="38" t="s">
        <v>357</v>
      </c>
      <c r="G444" s="38" t="s">
        <v>497</v>
      </c>
      <c r="H444" s="38">
        <f t="shared" si="69"/>
        <v>35.39</v>
      </c>
      <c r="I444" s="38">
        <f t="shared" si="70"/>
        <v>-78.03</v>
      </c>
      <c r="J444" s="38">
        <v>24.3</v>
      </c>
      <c r="P444" s="57" t="s">
        <v>179</v>
      </c>
      <c r="Q444" s="57"/>
      <c r="R444" s="57" t="s">
        <v>504</v>
      </c>
      <c r="S444" s="57" t="s">
        <v>1647</v>
      </c>
      <c r="T444" s="57" t="s">
        <v>1647</v>
      </c>
      <c r="X444" s="38" t="s">
        <v>228</v>
      </c>
      <c r="AB444" s="38" t="s">
        <v>1562</v>
      </c>
      <c r="AC444" s="38" t="s">
        <v>501</v>
      </c>
      <c r="AD444" s="153" t="str">
        <f t="shared" si="63"/>
        <v>Clover</v>
      </c>
      <c r="AE444" s="38" t="s">
        <v>167</v>
      </c>
      <c r="AJ444" s="38" t="s">
        <v>499</v>
      </c>
      <c r="AK444" s="38" t="s">
        <v>499</v>
      </c>
      <c r="AL444" s="38" t="s">
        <v>230</v>
      </c>
      <c r="AM444" s="38">
        <v>0</v>
      </c>
      <c r="AN444" s="38">
        <v>0</v>
      </c>
      <c r="AO444" s="38" t="s">
        <v>230</v>
      </c>
      <c r="AP444" s="38" t="s">
        <v>208</v>
      </c>
      <c r="AQ444" s="38">
        <v>4</v>
      </c>
      <c r="AR444" s="38">
        <v>4</v>
      </c>
      <c r="AS444" s="38" t="s">
        <v>404</v>
      </c>
      <c r="AU444" s="38">
        <f>(9.6+2.8)*1000</f>
        <v>12399.999999999998</v>
      </c>
      <c r="AV444" s="38">
        <f t="shared" ref="AV444" si="72">AU444/(256+66)</f>
        <v>38.509316770186331</v>
      </c>
      <c r="AW444" s="64" t="s">
        <v>511</v>
      </c>
      <c r="BK444" s="38">
        <v>11.582000000000001</v>
      </c>
      <c r="BL444" s="38">
        <v>23.082999999999998</v>
      </c>
      <c r="BM444" s="38" t="s">
        <v>510</v>
      </c>
      <c r="DS444" s="12"/>
      <c r="DU444" s="15"/>
      <c r="FA444" s="38" t="s">
        <v>513</v>
      </c>
      <c r="FB444" s="38" t="s">
        <v>854</v>
      </c>
      <c r="FC444" s="38">
        <v>26</v>
      </c>
    </row>
    <row r="445" spans="1:159" s="38" customFormat="1" x14ac:dyDescent="0.25">
      <c r="A445" s="38">
        <v>26</v>
      </c>
      <c r="B445" s="38" t="s">
        <v>495</v>
      </c>
      <c r="C445" s="38" t="s">
        <v>496</v>
      </c>
      <c r="D445" s="38">
        <v>2015</v>
      </c>
      <c r="E445" s="38">
        <v>2012</v>
      </c>
      <c r="F445" s="38" t="s">
        <v>357</v>
      </c>
      <c r="G445" s="38" t="s">
        <v>497</v>
      </c>
      <c r="H445" s="38">
        <f t="shared" si="69"/>
        <v>35.39</v>
      </c>
      <c r="I445" s="38">
        <f t="shared" si="70"/>
        <v>-78.03</v>
      </c>
      <c r="J445" s="38">
        <v>24.3</v>
      </c>
      <c r="P445" s="57" t="s">
        <v>179</v>
      </c>
      <c r="Q445" s="57"/>
      <c r="R445" s="57" t="s">
        <v>504</v>
      </c>
      <c r="S445" s="57" t="s">
        <v>1647</v>
      </c>
      <c r="T445" s="57" t="s">
        <v>1647</v>
      </c>
      <c r="X445" s="38" t="s">
        <v>228</v>
      </c>
      <c r="AB445" s="38" t="s">
        <v>1562</v>
      </c>
      <c r="AC445" s="38" t="s">
        <v>301</v>
      </c>
      <c r="AD445" s="153" t="str">
        <f t="shared" si="63"/>
        <v>Vetch</v>
      </c>
      <c r="AE445" s="38" t="s">
        <v>167</v>
      </c>
      <c r="AJ445" s="38" t="s">
        <v>499</v>
      </c>
      <c r="AK445" s="38" t="s">
        <v>499</v>
      </c>
      <c r="AL445" s="38" t="s">
        <v>230</v>
      </c>
      <c r="AM445" s="38">
        <v>0</v>
      </c>
      <c r="AN445" s="38">
        <v>0</v>
      </c>
      <c r="AO445" s="38" t="s">
        <v>230</v>
      </c>
      <c r="AP445" s="38" t="s">
        <v>208</v>
      </c>
      <c r="AQ445" s="38">
        <v>4</v>
      </c>
      <c r="AR445" s="38">
        <v>4</v>
      </c>
      <c r="AS445" s="38" t="s">
        <v>404</v>
      </c>
      <c r="AU445" s="38">
        <f>(8.7+2.5)*1000</f>
        <v>11200</v>
      </c>
      <c r="AV445" s="38">
        <f t="shared" ref="AV445" si="73">AU445/(288+71)</f>
        <v>31.197771587743734</v>
      </c>
      <c r="AW445" s="64" t="s">
        <v>511</v>
      </c>
      <c r="BK445" s="38">
        <v>11.582000000000001</v>
      </c>
      <c r="BL445" s="38">
        <v>42.25</v>
      </c>
      <c r="BM445" s="38" t="s">
        <v>510</v>
      </c>
      <c r="DS445" s="12"/>
      <c r="DU445" s="15"/>
      <c r="FA445" s="38" t="s">
        <v>513</v>
      </c>
      <c r="FB445" s="38" t="s">
        <v>854</v>
      </c>
      <c r="FC445" s="38">
        <v>26</v>
      </c>
    </row>
    <row r="446" spans="1:159" s="38" customFormat="1" x14ac:dyDescent="0.25">
      <c r="A446" s="38">
        <v>26</v>
      </c>
      <c r="B446" s="38" t="s">
        <v>495</v>
      </c>
      <c r="C446" s="38" t="s">
        <v>496</v>
      </c>
      <c r="D446" s="38">
        <v>2015</v>
      </c>
      <c r="E446" s="38">
        <v>2012</v>
      </c>
      <c r="F446" s="38" t="s">
        <v>357</v>
      </c>
      <c r="G446" s="38" t="s">
        <v>497</v>
      </c>
      <c r="H446" s="38">
        <f t="shared" si="69"/>
        <v>35.39</v>
      </c>
      <c r="I446" s="38">
        <f t="shared" si="70"/>
        <v>-78.03</v>
      </c>
      <c r="J446" s="38">
        <v>24.3</v>
      </c>
      <c r="P446" s="57" t="s">
        <v>179</v>
      </c>
      <c r="Q446" s="57"/>
      <c r="R446" s="57" t="s">
        <v>505</v>
      </c>
      <c r="S446" s="57" t="s">
        <v>1647</v>
      </c>
      <c r="T446" s="57" t="s">
        <v>1647</v>
      </c>
      <c r="X446" s="38" t="s">
        <v>228</v>
      </c>
      <c r="AB446" s="38" t="s">
        <v>1562</v>
      </c>
      <c r="AC446" s="38" t="s">
        <v>500</v>
      </c>
      <c r="AD446" s="153" t="str">
        <f t="shared" si="63"/>
        <v>Pea</v>
      </c>
      <c r="AE446" s="38" t="s">
        <v>167</v>
      </c>
      <c r="AJ446" s="38" t="s">
        <v>499</v>
      </c>
      <c r="AK446" s="38" t="s">
        <v>499</v>
      </c>
      <c r="AL446" s="38" t="s">
        <v>230</v>
      </c>
      <c r="AM446" s="38">
        <v>0</v>
      </c>
      <c r="AN446" s="38">
        <v>0</v>
      </c>
      <c r="AO446" s="38" t="s">
        <v>230</v>
      </c>
      <c r="AP446" s="38" t="s">
        <v>208</v>
      </c>
      <c r="AQ446" s="38">
        <v>4</v>
      </c>
      <c r="AR446" s="38">
        <v>4</v>
      </c>
      <c r="AS446" s="38" t="s">
        <v>404</v>
      </c>
      <c r="AU446" s="38">
        <f>(6.5+1.7)*1000</f>
        <v>8200</v>
      </c>
      <c r="AV446" s="38">
        <f t="shared" ref="AV446" si="74">AU446/(205+53)</f>
        <v>31.782945736434108</v>
      </c>
      <c r="AW446" s="64" t="s">
        <v>511</v>
      </c>
      <c r="BK446" s="38">
        <v>12.153</v>
      </c>
      <c r="BL446" s="38">
        <v>21.289000000000001</v>
      </c>
      <c r="BM446" s="38" t="s">
        <v>510</v>
      </c>
      <c r="DS446" s="12"/>
      <c r="DU446" s="15"/>
      <c r="FA446" s="38" t="s">
        <v>513</v>
      </c>
      <c r="FB446" s="38" t="s">
        <v>854</v>
      </c>
      <c r="FC446" s="38">
        <v>26</v>
      </c>
    </row>
    <row r="447" spans="1:159" s="38" customFormat="1" x14ac:dyDescent="0.25">
      <c r="A447" s="38">
        <v>26</v>
      </c>
      <c r="B447" s="38" t="s">
        <v>495</v>
      </c>
      <c r="C447" s="38" t="s">
        <v>496</v>
      </c>
      <c r="D447" s="38">
        <v>2015</v>
      </c>
      <c r="E447" s="38">
        <v>2012</v>
      </c>
      <c r="F447" s="38" t="s">
        <v>357</v>
      </c>
      <c r="G447" s="38" t="s">
        <v>497</v>
      </c>
      <c r="H447" s="38">
        <f t="shared" si="69"/>
        <v>35.39</v>
      </c>
      <c r="I447" s="38">
        <f t="shared" si="70"/>
        <v>-78.03</v>
      </c>
      <c r="J447" s="38">
        <v>24.3</v>
      </c>
      <c r="P447" s="57" t="s">
        <v>179</v>
      </c>
      <c r="Q447" s="57"/>
      <c r="R447" s="57" t="s">
        <v>505</v>
      </c>
      <c r="S447" s="57" t="s">
        <v>1647</v>
      </c>
      <c r="T447" s="57" t="s">
        <v>1647</v>
      </c>
      <c r="X447" s="38" t="s">
        <v>228</v>
      </c>
      <c r="AB447" s="38" t="s">
        <v>1562</v>
      </c>
      <c r="AC447" s="38" t="s">
        <v>501</v>
      </c>
      <c r="AD447" s="153" t="str">
        <f t="shared" si="63"/>
        <v>Clover</v>
      </c>
      <c r="AE447" s="38" t="s">
        <v>167</v>
      </c>
      <c r="AJ447" s="38" t="s">
        <v>499</v>
      </c>
      <c r="AK447" s="38" t="s">
        <v>499</v>
      </c>
      <c r="AL447" s="38" t="s">
        <v>230</v>
      </c>
      <c r="AM447" s="38">
        <v>0</v>
      </c>
      <c r="AN447" s="38">
        <v>0</v>
      </c>
      <c r="AO447" s="38" t="s">
        <v>230</v>
      </c>
      <c r="AP447" s="38" t="s">
        <v>208</v>
      </c>
      <c r="AQ447" s="38">
        <v>4</v>
      </c>
      <c r="AR447" s="38">
        <v>4</v>
      </c>
      <c r="AS447" s="38" t="s">
        <v>404</v>
      </c>
      <c r="AU447" s="38">
        <f>(9.6+2.8)*1000</f>
        <v>12399.999999999998</v>
      </c>
      <c r="AV447" s="38">
        <f t="shared" ref="AV447" si="75">AU447/(256+66)</f>
        <v>38.509316770186331</v>
      </c>
      <c r="AW447" s="64" t="s">
        <v>511</v>
      </c>
      <c r="BK447" s="38">
        <v>12.153</v>
      </c>
      <c r="BL447" s="38">
        <v>26.346</v>
      </c>
      <c r="BM447" s="38" t="s">
        <v>510</v>
      </c>
      <c r="DS447" s="12"/>
      <c r="DU447" s="15"/>
      <c r="FA447" s="38" t="s">
        <v>513</v>
      </c>
      <c r="FB447" s="38" t="s">
        <v>854</v>
      </c>
      <c r="FC447" s="38">
        <v>26</v>
      </c>
    </row>
    <row r="448" spans="1:159" s="38" customFormat="1" x14ac:dyDescent="0.25">
      <c r="A448" s="38">
        <v>26</v>
      </c>
      <c r="B448" s="38" t="s">
        <v>495</v>
      </c>
      <c r="C448" s="38" t="s">
        <v>496</v>
      </c>
      <c r="D448" s="38">
        <v>2015</v>
      </c>
      <c r="E448" s="38">
        <v>2012</v>
      </c>
      <c r="F448" s="38" t="s">
        <v>357</v>
      </c>
      <c r="G448" s="38" t="s">
        <v>497</v>
      </c>
      <c r="H448" s="38">
        <f t="shared" si="69"/>
        <v>35.39</v>
      </c>
      <c r="I448" s="38">
        <f t="shared" si="70"/>
        <v>-78.03</v>
      </c>
      <c r="J448" s="38">
        <v>24.3</v>
      </c>
      <c r="P448" s="57" t="s">
        <v>179</v>
      </c>
      <c r="Q448" s="57"/>
      <c r="R448" s="57" t="s">
        <v>505</v>
      </c>
      <c r="S448" s="57" t="s">
        <v>1647</v>
      </c>
      <c r="T448" s="57" t="s">
        <v>1647</v>
      </c>
      <c r="X448" s="38" t="s">
        <v>228</v>
      </c>
      <c r="AB448" s="38" t="s">
        <v>1562</v>
      </c>
      <c r="AC448" s="38" t="s">
        <v>301</v>
      </c>
      <c r="AD448" s="153" t="str">
        <f t="shared" si="63"/>
        <v>Vetch</v>
      </c>
      <c r="AE448" s="38" t="s">
        <v>167</v>
      </c>
      <c r="AJ448" s="38" t="s">
        <v>499</v>
      </c>
      <c r="AK448" s="38" t="s">
        <v>499</v>
      </c>
      <c r="AL448" s="38" t="s">
        <v>230</v>
      </c>
      <c r="AM448" s="38">
        <v>0</v>
      </c>
      <c r="AN448" s="38">
        <v>0</v>
      </c>
      <c r="AO448" s="38" t="s">
        <v>230</v>
      </c>
      <c r="AP448" s="38" t="s">
        <v>208</v>
      </c>
      <c r="AQ448" s="38">
        <v>4</v>
      </c>
      <c r="AR448" s="38">
        <v>4</v>
      </c>
      <c r="AS448" s="38" t="s">
        <v>404</v>
      </c>
      <c r="AU448" s="38">
        <f>(8.7+2.5)*1000</f>
        <v>11200</v>
      </c>
      <c r="AV448" s="38">
        <f t="shared" ref="AV448" si="76">AU448/(288+71)</f>
        <v>31.197771587743734</v>
      </c>
      <c r="AW448" s="64" t="s">
        <v>511</v>
      </c>
      <c r="BK448" s="38">
        <v>12.153</v>
      </c>
      <c r="BL448" s="38">
        <v>31.65</v>
      </c>
      <c r="BM448" s="38" t="s">
        <v>510</v>
      </c>
      <c r="DS448" s="12"/>
      <c r="DU448" s="15"/>
      <c r="FA448" s="38" t="s">
        <v>513</v>
      </c>
      <c r="FB448" s="38" t="s">
        <v>854</v>
      </c>
      <c r="FC448" s="38">
        <v>26</v>
      </c>
    </row>
    <row r="449" spans="1:159" s="38" customFormat="1" x14ac:dyDescent="0.25">
      <c r="A449" s="38">
        <v>26</v>
      </c>
      <c r="B449" s="38" t="s">
        <v>495</v>
      </c>
      <c r="C449" s="38" t="s">
        <v>496</v>
      </c>
      <c r="D449" s="38">
        <v>2015</v>
      </c>
      <c r="E449" s="38">
        <v>2012</v>
      </c>
      <c r="F449" s="38" t="s">
        <v>357</v>
      </c>
      <c r="G449" s="38" t="s">
        <v>497</v>
      </c>
      <c r="H449" s="38">
        <f t="shared" si="69"/>
        <v>35.39</v>
      </c>
      <c r="I449" s="38">
        <f t="shared" si="70"/>
        <v>-78.03</v>
      </c>
      <c r="J449" s="38">
        <v>24.3</v>
      </c>
      <c r="P449" s="57" t="s">
        <v>179</v>
      </c>
      <c r="Q449" s="57"/>
      <c r="R449" s="57" t="s">
        <v>506</v>
      </c>
      <c r="S449" s="57" t="s">
        <v>1647</v>
      </c>
      <c r="T449" s="57" t="s">
        <v>1647</v>
      </c>
      <c r="X449" s="38" t="s">
        <v>228</v>
      </c>
      <c r="AB449" s="38" t="s">
        <v>1562</v>
      </c>
      <c r="AC449" s="38" t="s">
        <v>500</v>
      </c>
      <c r="AD449" s="153" t="str">
        <f t="shared" si="63"/>
        <v>Pea</v>
      </c>
      <c r="AE449" s="38" t="s">
        <v>167</v>
      </c>
      <c r="AJ449" s="38" t="s">
        <v>499</v>
      </c>
      <c r="AK449" s="38" t="s">
        <v>499</v>
      </c>
      <c r="AL449" s="38" t="s">
        <v>230</v>
      </c>
      <c r="AM449" s="38">
        <v>0</v>
      </c>
      <c r="AN449" s="38">
        <v>0</v>
      </c>
      <c r="AO449" s="38" t="s">
        <v>230</v>
      </c>
      <c r="AP449" s="38" t="s">
        <v>208</v>
      </c>
      <c r="AQ449" s="38">
        <v>4</v>
      </c>
      <c r="AR449" s="38">
        <v>4</v>
      </c>
      <c r="AS449" s="38" t="s">
        <v>404</v>
      </c>
      <c r="AU449" s="38">
        <f>(6.5+1.7)*1000</f>
        <v>8200</v>
      </c>
      <c r="AV449" s="38">
        <f t="shared" ref="AV449" si="77">AU449/(205+53)</f>
        <v>31.782945736434108</v>
      </c>
      <c r="AW449" s="64" t="s">
        <v>511</v>
      </c>
      <c r="BK449" s="38">
        <v>12.643000000000001</v>
      </c>
      <c r="BL449" s="38">
        <v>15.497999999999999</v>
      </c>
      <c r="BM449" s="38" t="s">
        <v>510</v>
      </c>
      <c r="DS449" s="12"/>
      <c r="DU449" s="15"/>
      <c r="FA449" s="38" t="s">
        <v>513</v>
      </c>
      <c r="FB449" s="38" t="s">
        <v>854</v>
      </c>
      <c r="FC449" s="38">
        <v>26</v>
      </c>
    </row>
    <row r="450" spans="1:159" s="38" customFormat="1" x14ac:dyDescent="0.25">
      <c r="A450" s="38">
        <v>26</v>
      </c>
      <c r="B450" s="38" t="s">
        <v>495</v>
      </c>
      <c r="C450" s="38" t="s">
        <v>496</v>
      </c>
      <c r="D450" s="38">
        <v>2015</v>
      </c>
      <c r="E450" s="38">
        <v>2012</v>
      </c>
      <c r="F450" s="38" t="s">
        <v>357</v>
      </c>
      <c r="G450" s="38" t="s">
        <v>497</v>
      </c>
      <c r="H450" s="38">
        <f t="shared" si="69"/>
        <v>35.39</v>
      </c>
      <c r="I450" s="38">
        <f t="shared" si="70"/>
        <v>-78.03</v>
      </c>
      <c r="J450" s="38">
        <v>24.3</v>
      </c>
      <c r="P450" s="57" t="s">
        <v>179</v>
      </c>
      <c r="Q450" s="57"/>
      <c r="R450" s="57" t="s">
        <v>506</v>
      </c>
      <c r="S450" s="57" t="s">
        <v>1647</v>
      </c>
      <c r="T450" s="57" t="s">
        <v>1647</v>
      </c>
      <c r="X450" s="38" t="s">
        <v>228</v>
      </c>
      <c r="AB450" s="38" t="s">
        <v>1562</v>
      </c>
      <c r="AC450" s="38" t="s">
        <v>501</v>
      </c>
      <c r="AD450" s="153" t="str">
        <f t="shared" si="63"/>
        <v>Clover</v>
      </c>
      <c r="AE450" s="38" t="s">
        <v>167</v>
      </c>
      <c r="AJ450" s="38" t="s">
        <v>499</v>
      </c>
      <c r="AK450" s="38" t="s">
        <v>499</v>
      </c>
      <c r="AL450" s="38" t="s">
        <v>230</v>
      </c>
      <c r="AM450" s="38">
        <v>0</v>
      </c>
      <c r="AN450" s="38">
        <v>0</v>
      </c>
      <c r="AO450" s="38" t="s">
        <v>230</v>
      </c>
      <c r="AP450" s="38" t="s">
        <v>208</v>
      </c>
      <c r="AQ450" s="38">
        <v>4</v>
      </c>
      <c r="AR450" s="38">
        <v>4</v>
      </c>
      <c r="AS450" s="38" t="s">
        <v>404</v>
      </c>
      <c r="AU450" s="38">
        <f>(9.6+2.8)*1000</f>
        <v>12399.999999999998</v>
      </c>
      <c r="AV450" s="38">
        <f t="shared" ref="AV450" si="78">AU450/(256+66)</f>
        <v>38.509316770186331</v>
      </c>
      <c r="AW450" s="64" t="s">
        <v>511</v>
      </c>
      <c r="BK450" s="38">
        <v>12.643000000000001</v>
      </c>
      <c r="BL450" s="38">
        <v>26.75</v>
      </c>
      <c r="BM450" s="38" t="s">
        <v>510</v>
      </c>
      <c r="DS450" s="12"/>
      <c r="DU450" s="15"/>
      <c r="FA450" s="38" t="s">
        <v>513</v>
      </c>
      <c r="FB450" s="38" t="s">
        <v>854</v>
      </c>
      <c r="FC450" s="38">
        <v>26</v>
      </c>
    </row>
    <row r="451" spans="1:159" s="38" customFormat="1" x14ac:dyDescent="0.25">
      <c r="A451" s="38">
        <v>26</v>
      </c>
      <c r="B451" s="38" t="s">
        <v>495</v>
      </c>
      <c r="C451" s="38" t="s">
        <v>496</v>
      </c>
      <c r="D451" s="38">
        <v>2015</v>
      </c>
      <c r="E451" s="38">
        <v>2012</v>
      </c>
      <c r="F451" s="38" t="s">
        <v>357</v>
      </c>
      <c r="G451" s="38" t="s">
        <v>497</v>
      </c>
      <c r="H451" s="38">
        <f t="shared" si="69"/>
        <v>35.39</v>
      </c>
      <c r="I451" s="38">
        <f t="shared" si="70"/>
        <v>-78.03</v>
      </c>
      <c r="J451" s="38">
        <v>24.3</v>
      </c>
      <c r="P451" s="57" t="s">
        <v>179</v>
      </c>
      <c r="Q451" s="57"/>
      <c r="R451" s="57" t="s">
        <v>506</v>
      </c>
      <c r="S451" s="57" t="s">
        <v>1647</v>
      </c>
      <c r="T451" s="57" t="s">
        <v>1647</v>
      </c>
      <c r="X451" s="38" t="s">
        <v>228</v>
      </c>
      <c r="AB451" s="38" t="s">
        <v>1562</v>
      </c>
      <c r="AC451" s="38" t="s">
        <v>301</v>
      </c>
      <c r="AD451" s="153" t="str">
        <f t="shared" ref="AD451:AD514" si="79">IF(OR(AC451="*Rye",AC451="Rye*",AC451="Downy_brome"),"Rye",IF(OR(AC451="*Oat",AC451="Oat*",AC451="Trudan_8",AC451="*Wheat",AC451="Wheat*",AC451="Barley*",AC451="Hemp",AC451="Hemp",AC451="Triticale*",AC451="Grass",AC451="Millet"),"Grass",IF(OR(AC451="*clover",AC451="clover*",AC451="Vetch*",AC451="Vetch*",AC451="Alfalfa",AC451="Soybean",AC451="*Lentil",AC451="Lentil*",AC451="*Pea",AC451="Pea*",AC451="Lupine"),"Legume",AC451)))</f>
        <v>Vetch</v>
      </c>
      <c r="AE451" s="38" t="s">
        <v>167</v>
      </c>
      <c r="AJ451" s="38" t="s">
        <v>499</v>
      </c>
      <c r="AK451" s="38" t="s">
        <v>499</v>
      </c>
      <c r="AL451" s="38" t="s">
        <v>230</v>
      </c>
      <c r="AM451" s="38">
        <v>0</v>
      </c>
      <c r="AN451" s="38">
        <v>0</v>
      </c>
      <c r="AO451" s="38" t="s">
        <v>230</v>
      </c>
      <c r="AP451" s="38" t="s">
        <v>208</v>
      </c>
      <c r="AQ451" s="38">
        <v>4</v>
      </c>
      <c r="AR451" s="38">
        <v>4</v>
      </c>
      <c r="AS451" s="38" t="s">
        <v>404</v>
      </c>
      <c r="AU451" s="38">
        <f>(8.7+2.5)*1000</f>
        <v>11200</v>
      </c>
      <c r="AV451" s="38">
        <f t="shared" ref="AV451" si="80">AU451/(288+71)</f>
        <v>31.197771587743734</v>
      </c>
      <c r="AW451" s="64" t="s">
        <v>511</v>
      </c>
      <c r="BK451" s="38">
        <v>12.643000000000001</v>
      </c>
      <c r="BL451" s="38">
        <v>42.66</v>
      </c>
      <c r="BM451" s="38" t="s">
        <v>510</v>
      </c>
      <c r="DS451" s="12"/>
      <c r="DU451" s="15"/>
      <c r="FA451" s="38" t="s">
        <v>513</v>
      </c>
      <c r="FB451" s="38" t="s">
        <v>854</v>
      </c>
      <c r="FC451" s="38">
        <v>26</v>
      </c>
    </row>
    <row r="452" spans="1:159" s="38" customFormat="1" x14ac:dyDescent="0.25">
      <c r="A452" s="38">
        <v>26</v>
      </c>
      <c r="B452" s="38" t="s">
        <v>495</v>
      </c>
      <c r="C452" s="38" t="s">
        <v>496</v>
      </c>
      <c r="D452" s="38">
        <v>2015</v>
      </c>
      <c r="E452" s="38">
        <v>2012</v>
      </c>
      <c r="F452" s="38" t="s">
        <v>357</v>
      </c>
      <c r="G452" s="38" t="s">
        <v>497</v>
      </c>
      <c r="H452" s="38">
        <f t="shared" si="69"/>
        <v>35.39</v>
      </c>
      <c r="I452" s="38">
        <f t="shared" si="70"/>
        <v>-78.03</v>
      </c>
      <c r="J452" s="38">
        <v>24.3</v>
      </c>
      <c r="P452" s="57" t="s">
        <v>179</v>
      </c>
      <c r="Q452" s="57"/>
      <c r="R452" s="57" t="s">
        <v>507</v>
      </c>
      <c r="S452" s="57" t="s">
        <v>1647</v>
      </c>
      <c r="T452" s="57" t="s">
        <v>1647</v>
      </c>
      <c r="X452" s="38" t="s">
        <v>228</v>
      </c>
      <c r="AB452" s="38" t="s">
        <v>1562</v>
      </c>
      <c r="AC452" s="38" t="s">
        <v>500</v>
      </c>
      <c r="AD452" s="153" t="str">
        <f t="shared" si="79"/>
        <v>Pea</v>
      </c>
      <c r="AE452" s="38" t="s">
        <v>167</v>
      </c>
      <c r="AJ452" s="38" t="s">
        <v>499</v>
      </c>
      <c r="AK452" s="38" t="s">
        <v>499</v>
      </c>
      <c r="AL452" s="38" t="s">
        <v>230</v>
      </c>
      <c r="AM452" s="38">
        <v>0</v>
      </c>
      <c r="AN452" s="38">
        <v>0</v>
      </c>
      <c r="AO452" s="38" t="s">
        <v>230</v>
      </c>
      <c r="AP452" s="38" t="s">
        <v>208</v>
      </c>
      <c r="AQ452" s="38">
        <v>4</v>
      </c>
      <c r="AR452" s="38">
        <v>4</v>
      </c>
      <c r="AS452" s="38" t="s">
        <v>404</v>
      </c>
      <c r="AU452" s="38">
        <f>(6.5+1.7)*1000</f>
        <v>8200</v>
      </c>
      <c r="AV452" s="38">
        <f t="shared" ref="AV452" si="81">AU452/(205+53)</f>
        <v>31.782945736434108</v>
      </c>
      <c r="AW452" s="64" t="s">
        <v>511</v>
      </c>
      <c r="BK452" s="38">
        <v>4.3230000000000004</v>
      </c>
      <c r="BL452" s="38">
        <v>10.93</v>
      </c>
      <c r="BM452" s="38" t="s">
        <v>510</v>
      </c>
      <c r="DS452" s="12"/>
      <c r="DU452" s="15"/>
      <c r="FA452" s="38" t="s">
        <v>513</v>
      </c>
      <c r="FB452" s="38" t="s">
        <v>854</v>
      </c>
      <c r="FC452" s="38">
        <v>26</v>
      </c>
    </row>
    <row r="453" spans="1:159" s="38" customFormat="1" x14ac:dyDescent="0.25">
      <c r="A453" s="38">
        <v>26</v>
      </c>
      <c r="B453" s="38" t="s">
        <v>495</v>
      </c>
      <c r="C453" s="38" t="s">
        <v>496</v>
      </c>
      <c r="D453" s="38">
        <v>2015</v>
      </c>
      <c r="E453" s="38">
        <v>2012</v>
      </c>
      <c r="F453" s="38" t="s">
        <v>357</v>
      </c>
      <c r="G453" s="38" t="s">
        <v>497</v>
      </c>
      <c r="H453" s="38">
        <f t="shared" si="69"/>
        <v>35.39</v>
      </c>
      <c r="I453" s="38">
        <f t="shared" si="70"/>
        <v>-78.03</v>
      </c>
      <c r="J453" s="38">
        <v>24.3</v>
      </c>
      <c r="P453" s="57" t="s">
        <v>179</v>
      </c>
      <c r="Q453" s="57"/>
      <c r="R453" s="57" t="s">
        <v>507</v>
      </c>
      <c r="S453" s="57" t="s">
        <v>1647</v>
      </c>
      <c r="T453" s="57" t="s">
        <v>1647</v>
      </c>
      <c r="X453" s="38" t="s">
        <v>228</v>
      </c>
      <c r="AB453" s="38" t="s">
        <v>1562</v>
      </c>
      <c r="AC453" s="38" t="s">
        <v>501</v>
      </c>
      <c r="AD453" s="153" t="str">
        <f t="shared" si="79"/>
        <v>Clover</v>
      </c>
      <c r="AE453" s="38" t="s">
        <v>167</v>
      </c>
      <c r="AJ453" s="38" t="s">
        <v>499</v>
      </c>
      <c r="AK453" s="38" t="s">
        <v>499</v>
      </c>
      <c r="AL453" s="38" t="s">
        <v>230</v>
      </c>
      <c r="AM453" s="38">
        <v>0</v>
      </c>
      <c r="AN453" s="38">
        <v>0</v>
      </c>
      <c r="AO453" s="38" t="s">
        <v>230</v>
      </c>
      <c r="AP453" s="38" t="s">
        <v>208</v>
      </c>
      <c r="AQ453" s="38">
        <v>4</v>
      </c>
      <c r="AR453" s="38">
        <v>4</v>
      </c>
      <c r="AS453" s="38" t="s">
        <v>404</v>
      </c>
      <c r="AU453" s="38">
        <f>(9.6+2.8)*1000</f>
        <v>12399.999999999998</v>
      </c>
      <c r="AV453" s="38">
        <f t="shared" ref="AV453" si="82">AU453/(256+66)</f>
        <v>38.509316770186331</v>
      </c>
      <c r="AW453" s="64" t="s">
        <v>511</v>
      </c>
      <c r="BK453" s="38">
        <v>4.3230000000000004</v>
      </c>
      <c r="BL453" s="38">
        <v>6.1180000000000003</v>
      </c>
      <c r="BM453" s="38" t="s">
        <v>510</v>
      </c>
      <c r="DS453" s="12"/>
      <c r="DU453" s="15"/>
      <c r="FA453" s="38" t="s">
        <v>513</v>
      </c>
      <c r="FB453" s="38" t="s">
        <v>854</v>
      </c>
      <c r="FC453" s="38">
        <v>26</v>
      </c>
    </row>
    <row r="454" spans="1:159" s="38" customFormat="1" x14ac:dyDescent="0.25">
      <c r="A454" s="38">
        <v>26</v>
      </c>
      <c r="B454" s="38" t="s">
        <v>495</v>
      </c>
      <c r="C454" s="38" t="s">
        <v>496</v>
      </c>
      <c r="D454" s="38">
        <v>2015</v>
      </c>
      <c r="E454" s="38">
        <v>2012</v>
      </c>
      <c r="F454" s="38" t="s">
        <v>357</v>
      </c>
      <c r="G454" s="38" t="s">
        <v>497</v>
      </c>
      <c r="H454" s="38">
        <f t="shared" si="69"/>
        <v>35.39</v>
      </c>
      <c r="I454" s="38">
        <f t="shared" si="70"/>
        <v>-78.03</v>
      </c>
      <c r="J454" s="38">
        <v>24.3</v>
      </c>
      <c r="P454" s="57" t="s">
        <v>179</v>
      </c>
      <c r="Q454" s="57"/>
      <c r="R454" s="57" t="s">
        <v>507</v>
      </c>
      <c r="S454" s="57" t="s">
        <v>1647</v>
      </c>
      <c r="T454" s="57" t="s">
        <v>1647</v>
      </c>
      <c r="X454" s="38" t="s">
        <v>228</v>
      </c>
      <c r="AB454" s="38" t="s">
        <v>1562</v>
      </c>
      <c r="AC454" s="38" t="s">
        <v>301</v>
      </c>
      <c r="AD454" s="153" t="str">
        <f t="shared" si="79"/>
        <v>Vetch</v>
      </c>
      <c r="AE454" s="38" t="s">
        <v>167</v>
      </c>
      <c r="AJ454" s="38" t="s">
        <v>499</v>
      </c>
      <c r="AK454" s="38" t="s">
        <v>499</v>
      </c>
      <c r="AL454" s="38" t="s">
        <v>230</v>
      </c>
      <c r="AM454" s="38">
        <v>0</v>
      </c>
      <c r="AN454" s="38">
        <v>0</v>
      </c>
      <c r="AO454" s="38" t="s">
        <v>230</v>
      </c>
      <c r="AP454" s="38" t="s">
        <v>208</v>
      </c>
      <c r="AQ454" s="38">
        <v>4</v>
      </c>
      <c r="AR454" s="38">
        <v>4</v>
      </c>
      <c r="AS454" s="38" t="s">
        <v>404</v>
      </c>
      <c r="AU454" s="38">
        <f>(8.7+2.5)*1000</f>
        <v>11200</v>
      </c>
      <c r="AV454" s="38">
        <f t="shared" ref="AV454" si="83">AU454/(288+71)</f>
        <v>31.197771587743734</v>
      </c>
      <c r="AW454" s="64" t="s">
        <v>511</v>
      </c>
      <c r="BK454" s="38">
        <v>4.3230000000000004</v>
      </c>
      <c r="BL454" s="38">
        <v>10.93</v>
      </c>
      <c r="BM454" s="38" t="s">
        <v>510</v>
      </c>
      <c r="DS454" s="12"/>
      <c r="DU454" s="15"/>
      <c r="FA454" s="38" t="s">
        <v>513</v>
      </c>
      <c r="FB454" s="38" t="s">
        <v>854</v>
      </c>
      <c r="FC454" s="38">
        <v>26</v>
      </c>
    </row>
    <row r="455" spans="1:159" s="38" customFormat="1" x14ac:dyDescent="0.25">
      <c r="A455" s="38">
        <v>26</v>
      </c>
      <c r="B455" s="38" t="s">
        <v>495</v>
      </c>
      <c r="C455" s="38" t="s">
        <v>496</v>
      </c>
      <c r="D455" s="38">
        <v>2015</v>
      </c>
      <c r="E455" s="38">
        <v>2012</v>
      </c>
      <c r="F455" s="38" t="s">
        <v>357</v>
      </c>
      <c r="G455" s="38" t="s">
        <v>497</v>
      </c>
      <c r="H455" s="38">
        <f t="shared" si="69"/>
        <v>35.39</v>
      </c>
      <c r="I455" s="38">
        <f t="shared" si="70"/>
        <v>-78.03</v>
      </c>
      <c r="J455" s="38">
        <v>24.3</v>
      </c>
      <c r="P455" s="57" t="s">
        <v>179</v>
      </c>
      <c r="Q455" s="57"/>
      <c r="R455" s="57" t="s">
        <v>508</v>
      </c>
      <c r="S455" s="57" t="s">
        <v>1647</v>
      </c>
      <c r="T455" s="57" t="s">
        <v>1647</v>
      </c>
      <c r="X455" s="38" t="s">
        <v>228</v>
      </c>
      <c r="AB455" s="38" t="s">
        <v>1562</v>
      </c>
      <c r="AC455" s="38" t="s">
        <v>500</v>
      </c>
      <c r="AD455" s="153" t="str">
        <f t="shared" si="79"/>
        <v>Pea</v>
      </c>
      <c r="AE455" s="38" t="s">
        <v>167</v>
      </c>
      <c r="AJ455" s="38" t="s">
        <v>499</v>
      </c>
      <c r="AK455" s="38" t="s">
        <v>499</v>
      </c>
      <c r="AL455" s="38" t="s">
        <v>230</v>
      </c>
      <c r="AM455" s="38">
        <v>0</v>
      </c>
      <c r="AN455" s="38">
        <v>0</v>
      </c>
      <c r="AO455" s="38" t="s">
        <v>230</v>
      </c>
      <c r="AP455" s="38" t="s">
        <v>208</v>
      </c>
      <c r="AQ455" s="38">
        <v>4</v>
      </c>
      <c r="AR455" s="38">
        <v>4</v>
      </c>
      <c r="AS455" s="38" t="s">
        <v>404</v>
      </c>
      <c r="AU455" s="38">
        <f>(6.5+1.7)*1000</f>
        <v>8200</v>
      </c>
      <c r="AV455" s="38">
        <f t="shared" ref="AV455" si="84">AU455/(205+53)</f>
        <v>31.782945736434108</v>
      </c>
      <c r="AW455" s="64" t="s">
        <v>511</v>
      </c>
      <c r="BK455" s="38">
        <v>2.0390000000000001</v>
      </c>
      <c r="BL455" s="38">
        <v>4.649</v>
      </c>
      <c r="BM455" s="38" t="s">
        <v>510</v>
      </c>
      <c r="DS455" s="12"/>
      <c r="DU455" s="15"/>
      <c r="FA455" s="38" t="s">
        <v>513</v>
      </c>
      <c r="FB455" s="38" t="s">
        <v>854</v>
      </c>
      <c r="FC455" s="38">
        <v>26</v>
      </c>
    </row>
    <row r="456" spans="1:159" s="38" customFormat="1" x14ac:dyDescent="0.25">
      <c r="A456" s="38">
        <v>26</v>
      </c>
      <c r="B456" s="38" t="s">
        <v>495</v>
      </c>
      <c r="C456" s="38" t="s">
        <v>496</v>
      </c>
      <c r="D456" s="38">
        <v>2015</v>
      </c>
      <c r="E456" s="38">
        <v>2012</v>
      </c>
      <c r="F456" s="38" t="s">
        <v>357</v>
      </c>
      <c r="G456" s="38" t="s">
        <v>497</v>
      </c>
      <c r="H456" s="38">
        <f t="shared" si="69"/>
        <v>35.39</v>
      </c>
      <c r="I456" s="38">
        <f t="shared" si="70"/>
        <v>-78.03</v>
      </c>
      <c r="J456" s="38">
        <v>24.3</v>
      </c>
      <c r="P456" s="57" t="s">
        <v>179</v>
      </c>
      <c r="Q456" s="57"/>
      <c r="R456" s="57" t="s">
        <v>508</v>
      </c>
      <c r="S456" s="57" t="s">
        <v>1647</v>
      </c>
      <c r="T456" s="57" t="s">
        <v>1647</v>
      </c>
      <c r="X456" s="38" t="s">
        <v>228</v>
      </c>
      <c r="AB456" s="38" t="s">
        <v>1562</v>
      </c>
      <c r="AC456" s="38" t="s">
        <v>501</v>
      </c>
      <c r="AD456" s="153" t="str">
        <f t="shared" si="79"/>
        <v>Clover</v>
      </c>
      <c r="AE456" s="38" t="s">
        <v>167</v>
      </c>
      <c r="AJ456" s="38" t="s">
        <v>499</v>
      </c>
      <c r="AK456" s="38" t="s">
        <v>499</v>
      </c>
      <c r="AL456" s="38" t="s">
        <v>230</v>
      </c>
      <c r="AM456" s="38">
        <v>0</v>
      </c>
      <c r="AN456" s="38">
        <v>0</v>
      </c>
      <c r="AO456" s="38" t="s">
        <v>230</v>
      </c>
      <c r="AP456" s="38" t="s">
        <v>208</v>
      </c>
      <c r="AQ456" s="38">
        <v>4</v>
      </c>
      <c r="AR456" s="38">
        <v>4</v>
      </c>
      <c r="AS456" s="38" t="s">
        <v>404</v>
      </c>
      <c r="AU456" s="38">
        <f>(9.6+2.8)*1000</f>
        <v>12399.999999999998</v>
      </c>
      <c r="AV456" s="38">
        <f t="shared" ref="AV456" si="85">AU456/(256+66)</f>
        <v>38.509316770186331</v>
      </c>
      <c r="AW456" s="64" t="s">
        <v>511</v>
      </c>
      <c r="BK456" s="38">
        <v>2.0390000000000001</v>
      </c>
      <c r="BL456" s="38">
        <v>5.6280000000000001</v>
      </c>
      <c r="BM456" s="38" t="s">
        <v>510</v>
      </c>
      <c r="DS456" s="12"/>
      <c r="DU456" s="15"/>
      <c r="FA456" s="38" t="s">
        <v>513</v>
      </c>
      <c r="FB456" s="38" t="s">
        <v>854</v>
      </c>
      <c r="FC456" s="38">
        <v>26</v>
      </c>
    </row>
    <row r="457" spans="1:159" s="38" customFormat="1" x14ac:dyDescent="0.25">
      <c r="A457" s="38">
        <v>26</v>
      </c>
      <c r="B457" s="38" t="s">
        <v>495</v>
      </c>
      <c r="C457" s="38" t="s">
        <v>496</v>
      </c>
      <c r="D457" s="38">
        <v>2015</v>
      </c>
      <c r="E457" s="38">
        <v>2012</v>
      </c>
      <c r="F457" s="38" t="s">
        <v>357</v>
      </c>
      <c r="G457" s="38" t="s">
        <v>497</v>
      </c>
      <c r="H457" s="38">
        <f t="shared" si="69"/>
        <v>35.39</v>
      </c>
      <c r="I457" s="38">
        <f t="shared" si="70"/>
        <v>-78.03</v>
      </c>
      <c r="J457" s="38">
        <v>24.3</v>
      </c>
      <c r="P457" s="57" t="s">
        <v>179</v>
      </c>
      <c r="Q457" s="57"/>
      <c r="R457" s="57" t="s">
        <v>508</v>
      </c>
      <c r="S457" s="57" t="s">
        <v>1647</v>
      </c>
      <c r="T457" s="57" t="s">
        <v>1647</v>
      </c>
      <c r="X457" s="38" t="s">
        <v>228</v>
      </c>
      <c r="AB457" s="38" t="s">
        <v>1562</v>
      </c>
      <c r="AC457" s="38" t="s">
        <v>301</v>
      </c>
      <c r="AD457" s="153" t="str">
        <f t="shared" si="79"/>
        <v>Vetch</v>
      </c>
      <c r="AE457" s="38" t="s">
        <v>167</v>
      </c>
      <c r="AJ457" s="38" t="s">
        <v>499</v>
      </c>
      <c r="AK457" s="38" t="s">
        <v>499</v>
      </c>
      <c r="AL457" s="38" t="s">
        <v>230</v>
      </c>
      <c r="AM457" s="38">
        <v>0</v>
      </c>
      <c r="AN457" s="38">
        <v>0</v>
      </c>
      <c r="AO457" s="38" t="s">
        <v>230</v>
      </c>
      <c r="AP457" s="38" t="s">
        <v>208</v>
      </c>
      <c r="AQ457" s="38">
        <v>4</v>
      </c>
      <c r="AR457" s="38">
        <v>4</v>
      </c>
      <c r="AS457" s="38" t="s">
        <v>404</v>
      </c>
      <c r="AU457" s="38">
        <f>(8.7+2.5)*1000</f>
        <v>11200</v>
      </c>
      <c r="AV457" s="38">
        <f t="shared" ref="AV457" si="86">AU457/(288+71)</f>
        <v>31.197771587743734</v>
      </c>
      <c r="AW457" s="64" t="s">
        <v>511</v>
      </c>
      <c r="BK457" s="38">
        <v>2.0390000000000001</v>
      </c>
      <c r="BL457" s="38">
        <v>11.175000000000001</v>
      </c>
      <c r="BM457" s="38" t="s">
        <v>510</v>
      </c>
      <c r="DS457" s="12"/>
      <c r="DU457" s="15"/>
      <c r="FA457" s="38" t="s">
        <v>513</v>
      </c>
      <c r="FB457" s="38" t="s">
        <v>854</v>
      </c>
      <c r="FC457" s="38">
        <v>26</v>
      </c>
    </row>
    <row r="458" spans="1:159" s="38" customFormat="1" x14ac:dyDescent="0.25">
      <c r="A458" s="38">
        <v>26</v>
      </c>
      <c r="B458" s="38" t="s">
        <v>495</v>
      </c>
      <c r="C458" s="38" t="s">
        <v>496</v>
      </c>
      <c r="D458" s="38">
        <v>2015</v>
      </c>
      <c r="E458" s="38">
        <v>2012</v>
      </c>
      <c r="F458" s="38" t="s">
        <v>357</v>
      </c>
      <c r="G458" s="38" t="s">
        <v>497</v>
      </c>
      <c r="H458" s="38">
        <f t="shared" si="69"/>
        <v>35.39</v>
      </c>
      <c r="I458" s="38">
        <f t="shared" si="70"/>
        <v>-78.03</v>
      </c>
      <c r="J458" s="38">
        <v>24.3</v>
      </c>
      <c r="P458" s="57" t="s">
        <v>179</v>
      </c>
      <c r="Q458" s="57"/>
      <c r="R458" s="57" t="s">
        <v>502</v>
      </c>
      <c r="S458" s="57" t="s">
        <v>1647</v>
      </c>
      <c r="T458" s="57" t="s">
        <v>1647</v>
      </c>
      <c r="X458" s="38" t="s">
        <v>228</v>
      </c>
      <c r="AB458" s="38" t="s">
        <v>1562</v>
      </c>
      <c r="AC458" s="38" t="s">
        <v>500</v>
      </c>
      <c r="AD458" s="153" t="str">
        <f t="shared" si="79"/>
        <v>Pea</v>
      </c>
      <c r="AE458" s="38" t="s">
        <v>167</v>
      </c>
      <c r="AJ458" s="38" t="s">
        <v>509</v>
      </c>
      <c r="AK458" s="38" t="s">
        <v>509</v>
      </c>
      <c r="AL458" s="38" t="s">
        <v>230</v>
      </c>
      <c r="AM458" s="38">
        <v>0</v>
      </c>
      <c r="AN458" s="38">
        <v>0</v>
      </c>
      <c r="AO458" s="38" t="s">
        <v>230</v>
      </c>
      <c r="AP458" s="38" t="s">
        <v>208</v>
      </c>
      <c r="AQ458" s="38">
        <v>4</v>
      </c>
      <c r="AR458" s="38">
        <v>4</v>
      </c>
      <c r="AS458" s="38" t="s">
        <v>404</v>
      </c>
      <c r="AU458" s="38">
        <f>(6.5+1.7)*1000</f>
        <v>8200</v>
      </c>
      <c r="AV458" s="38">
        <f t="shared" ref="AV458" si="87">AU458/(205+53)</f>
        <v>31.782945736434108</v>
      </c>
      <c r="AW458" s="64" t="s">
        <v>512</v>
      </c>
      <c r="BK458" s="38">
        <v>9.5429999999999993</v>
      </c>
      <c r="BL458" s="38">
        <v>12.48</v>
      </c>
      <c r="BM458" s="38" t="s">
        <v>510</v>
      </c>
      <c r="DS458" s="12"/>
      <c r="DU458" s="15"/>
      <c r="FA458" s="38" t="s">
        <v>513</v>
      </c>
      <c r="FB458" s="38" t="s">
        <v>854</v>
      </c>
      <c r="FC458" s="38">
        <v>26</v>
      </c>
    </row>
    <row r="459" spans="1:159" s="38" customFormat="1" x14ac:dyDescent="0.25">
      <c r="A459" s="38">
        <v>26</v>
      </c>
      <c r="B459" s="38" t="s">
        <v>495</v>
      </c>
      <c r="C459" s="38" t="s">
        <v>496</v>
      </c>
      <c r="D459" s="38">
        <v>2015</v>
      </c>
      <c r="E459" s="38">
        <v>2012</v>
      </c>
      <c r="F459" s="38" t="s">
        <v>357</v>
      </c>
      <c r="G459" s="38" t="s">
        <v>497</v>
      </c>
      <c r="H459" s="38">
        <f t="shared" si="69"/>
        <v>35.39</v>
      </c>
      <c r="I459" s="38">
        <f t="shared" si="70"/>
        <v>-78.03</v>
      </c>
      <c r="J459" s="38">
        <v>24.3</v>
      </c>
      <c r="P459" s="57" t="s">
        <v>179</v>
      </c>
      <c r="Q459" s="57"/>
      <c r="R459" s="57" t="s">
        <v>502</v>
      </c>
      <c r="S459" s="57" t="s">
        <v>1647</v>
      </c>
      <c r="T459" s="57" t="s">
        <v>1647</v>
      </c>
      <c r="X459" s="38" t="s">
        <v>228</v>
      </c>
      <c r="AB459" s="38" t="s">
        <v>1562</v>
      </c>
      <c r="AC459" s="38" t="s">
        <v>501</v>
      </c>
      <c r="AD459" s="153" t="str">
        <f t="shared" si="79"/>
        <v>Clover</v>
      </c>
      <c r="AE459" s="38" t="s">
        <v>167</v>
      </c>
      <c r="AJ459" s="38" t="s">
        <v>509</v>
      </c>
      <c r="AK459" s="38" t="s">
        <v>509</v>
      </c>
      <c r="AL459" s="38" t="s">
        <v>230</v>
      </c>
      <c r="AM459" s="38">
        <v>0</v>
      </c>
      <c r="AN459" s="38">
        <v>0</v>
      </c>
      <c r="AO459" s="38" t="s">
        <v>230</v>
      </c>
      <c r="AP459" s="38" t="s">
        <v>208</v>
      </c>
      <c r="AQ459" s="38">
        <v>4</v>
      </c>
      <c r="AR459" s="38">
        <v>4</v>
      </c>
      <c r="AS459" s="38" t="s">
        <v>404</v>
      </c>
      <c r="AU459" s="38">
        <f>(9.6+2.8)*1000</f>
        <v>12399.999999999998</v>
      </c>
      <c r="AV459" s="38">
        <f t="shared" ref="AV459" si="88">AU459/(256+66)</f>
        <v>38.509316770186331</v>
      </c>
      <c r="AW459" s="64" t="s">
        <v>512</v>
      </c>
      <c r="BK459" s="38">
        <v>9.5429999999999993</v>
      </c>
      <c r="BL459" s="38">
        <v>11.42</v>
      </c>
      <c r="BM459" s="38" t="s">
        <v>510</v>
      </c>
      <c r="DS459" s="12"/>
      <c r="DU459" s="15"/>
      <c r="FA459" s="38" t="s">
        <v>513</v>
      </c>
      <c r="FB459" s="38" t="s">
        <v>854</v>
      </c>
      <c r="FC459" s="38">
        <v>26</v>
      </c>
    </row>
    <row r="460" spans="1:159" s="38" customFormat="1" x14ac:dyDescent="0.25">
      <c r="A460" s="38">
        <v>26</v>
      </c>
      <c r="B460" s="38" t="s">
        <v>495</v>
      </c>
      <c r="C460" s="38" t="s">
        <v>496</v>
      </c>
      <c r="D460" s="38">
        <v>2015</v>
      </c>
      <c r="E460" s="38">
        <v>2012</v>
      </c>
      <c r="F460" s="38" t="s">
        <v>357</v>
      </c>
      <c r="G460" s="38" t="s">
        <v>497</v>
      </c>
      <c r="H460" s="38">
        <f t="shared" si="69"/>
        <v>35.39</v>
      </c>
      <c r="I460" s="38">
        <f t="shared" si="70"/>
        <v>-78.03</v>
      </c>
      <c r="J460" s="38">
        <v>24.3</v>
      </c>
      <c r="P460" s="57" t="s">
        <v>179</v>
      </c>
      <c r="Q460" s="57"/>
      <c r="R460" s="57" t="s">
        <v>502</v>
      </c>
      <c r="S460" s="57" t="s">
        <v>1647</v>
      </c>
      <c r="T460" s="57" t="s">
        <v>1647</v>
      </c>
      <c r="X460" s="38" t="s">
        <v>228</v>
      </c>
      <c r="AB460" s="38" t="s">
        <v>1562</v>
      </c>
      <c r="AC460" s="38" t="s">
        <v>301</v>
      </c>
      <c r="AD460" s="153" t="str">
        <f t="shared" si="79"/>
        <v>Vetch</v>
      </c>
      <c r="AE460" s="38" t="s">
        <v>167</v>
      </c>
      <c r="AJ460" s="38" t="s">
        <v>509</v>
      </c>
      <c r="AK460" s="38" t="s">
        <v>509</v>
      </c>
      <c r="AL460" s="38" t="s">
        <v>230</v>
      </c>
      <c r="AM460" s="38">
        <v>0</v>
      </c>
      <c r="AN460" s="38">
        <v>0</v>
      </c>
      <c r="AO460" s="38" t="s">
        <v>230</v>
      </c>
      <c r="AP460" s="38" t="s">
        <v>208</v>
      </c>
      <c r="AQ460" s="38">
        <v>4</v>
      </c>
      <c r="AR460" s="38">
        <v>4</v>
      </c>
      <c r="AS460" s="38" t="s">
        <v>404</v>
      </c>
      <c r="AU460" s="38">
        <f>(8.7+2.5)*1000</f>
        <v>11200</v>
      </c>
      <c r="AV460" s="38">
        <f t="shared" ref="AV460" si="89">AU460/(288+71)</f>
        <v>31.197771587743734</v>
      </c>
      <c r="AW460" s="64" t="s">
        <v>512</v>
      </c>
      <c r="BK460" s="38">
        <v>9.5429999999999993</v>
      </c>
      <c r="BL460" s="38">
        <v>19.899999999999999</v>
      </c>
      <c r="BM460" s="38" t="s">
        <v>510</v>
      </c>
      <c r="DS460" s="12"/>
      <c r="DU460" s="15"/>
      <c r="FA460" s="38" t="s">
        <v>513</v>
      </c>
      <c r="FB460" s="38" t="s">
        <v>854</v>
      </c>
      <c r="FC460" s="38">
        <v>26</v>
      </c>
    </row>
    <row r="461" spans="1:159" s="38" customFormat="1" x14ac:dyDescent="0.25">
      <c r="A461" s="38">
        <v>26</v>
      </c>
      <c r="B461" s="38" t="s">
        <v>495</v>
      </c>
      <c r="C461" s="38" t="s">
        <v>496</v>
      </c>
      <c r="D461" s="38">
        <v>2015</v>
      </c>
      <c r="E461" s="38">
        <v>2012</v>
      </c>
      <c r="F461" s="38" t="s">
        <v>357</v>
      </c>
      <c r="G461" s="38" t="s">
        <v>497</v>
      </c>
      <c r="H461" s="38">
        <f t="shared" si="69"/>
        <v>35.39</v>
      </c>
      <c r="I461" s="38">
        <f t="shared" si="70"/>
        <v>-78.03</v>
      </c>
      <c r="J461" s="38">
        <v>24.3</v>
      </c>
      <c r="P461" s="57" t="s">
        <v>179</v>
      </c>
      <c r="Q461" s="57"/>
      <c r="R461" s="57" t="s">
        <v>503</v>
      </c>
      <c r="S461" s="57" t="s">
        <v>1647</v>
      </c>
      <c r="T461" s="57" t="s">
        <v>1647</v>
      </c>
      <c r="X461" s="38" t="s">
        <v>228</v>
      </c>
      <c r="AB461" s="38" t="s">
        <v>1562</v>
      </c>
      <c r="AC461" s="38" t="s">
        <v>500</v>
      </c>
      <c r="AD461" s="153" t="str">
        <f t="shared" si="79"/>
        <v>Pea</v>
      </c>
      <c r="AE461" s="38" t="s">
        <v>167</v>
      </c>
      <c r="AJ461" s="38" t="s">
        <v>509</v>
      </c>
      <c r="AK461" s="38" t="s">
        <v>509</v>
      </c>
      <c r="AL461" s="38" t="s">
        <v>230</v>
      </c>
      <c r="AM461" s="38">
        <v>0</v>
      </c>
      <c r="AN461" s="38">
        <v>0</v>
      </c>
      <c r="AO461" s="38" t="s">
        <v>230</v>
      </c>
      <c r="AP461" s="38" t="s">
        <v>208</v>
      </c>
      <c r="AQ461" s="38">
        <v>4</v>
      </c>
      <c r="AR461" s="38">
        <v>4</v>
      </c>
      <c r="AS461" s="38" t="s">
        <v>404</v>
      </c>
      <c r="AU461" s="38">
        <f>(6.5+1.7)*1000</f>
        <v>8200</v>
      </c>
      <c r="AV461" s="38">
        <f t="shared" ref="AV461" si="90">AU461/(205+53)</f>
        <v>31.782945736434108</v>
      </c>
      <c r="AW461" s="64" t="s">
        <v>512</v>
      </c>
      <c r="BK461" s="38">
        <v>7.9119999999999999</v>
      </c>
      <c r="BL461" s="38">
        <v>13.458</v>
      </c>
      <c r="BM461" s="38" t="s">
        <v>510</v>
      </c>
      <c r="DS461" s="12"/>
      <c r="DU461" s="15"/>
      <c r="FA461" s="38" t="s">
        <v>513</v>
      </c>
      <c r="FB461" s="38" t="s">
        <v>854</v>
      </c>
      <c r="FC461" s="38">
        <v>26</v>
      </c>
    </row>
    <row r="462" spans="1:159" s="38" customFormat="1" x14ac:dyDescent="0.25">
      <c r="A462" s="38">
        <v>26</v>
      </c>
      <c r="B462" s="38" t="s">
        <v>495</v>
      </c>
      <c r="C462" s="38" t="s">
        <v>496</v>
      </c>
      <c r="D462" s="38">
        <v>2015</v>
      </c>
      <c r="E462" s="38">
        <v>2012</v>
      </c>
      <c r="F462" s="38" t="s">
        <v>357</v>
      </c>
      <c r="G462" s="38" t="s">
        <v>497</v>
      </c>
      <c r="H462" s="38">
        <f t="shared" si="69"/>
        <v>35.39</v>
      </c>
      <c r="I462" s="38">
        <f t="shared" si="70"/>
        <v>-78.03</v>
      </c>
      <c r="J462" s="38">
        <v>24.3</v>
      </c>
      <c r="P462" s="57" t="s">
        <v>179</v>
      </c>
      <c r="Q462" s="57"/>
      <c r="R462" s="57" t="s">
        <v>503</v>
      </c>
      <c r="S462" s="57" t="s">
        <v>1647</v>
      </c>
      <c r="T462" s="57" t="s">
        <v>1647</v>
      </c>
      <c r="X462" s="38" t="s">
        <v>228</v>
      </c>
      <c r="AB462" s="38" t="s">
        <v>1562</v>
      </c>
      <c r="AC462" s="38" t="s">
        <v>501</v>
      </c>
      <c r="AD462" s="153" t="str">
        <f t="shared" si="79"/>
        <v>Clover</v>
      </c>
      <c r="AE462" s="38" t="s">
        <v>167</v>
      </c>
      <c r="AJ462" s="38" t="s">
        <v>509</v>
      </c>
      <c r="AK462" s="38" t="s">
        <v>509</v>
      </c>
      <c r="AL462" s="38" t="s">
        <v>230</v>
      </c>
      <c r="AM462" s="38">
        <v>0</v>
      </c>
      <c r="AN462" s="38">
        <v>0</v>
      </c>
      <c r="AO462" s="38" t="s">
        <v>230</v>
      </c>
      <c r="AP462" s="38" t="s">
        <v>208</v>
      </c>
      <c r="AQ462" s="38">
        <v>4</v>
      </c>
      <c r="AR462" s="38">
        <v>4</v>
      </c>
      <c r="AS462" s="38" t="s">
        <v>404</v>
      </c>
      <c r="AU462" s="38">
        <f>(9.6+2.8)*1000</f>
        <v>12399.999999999998</v>
      </c>
      <c r="AV462" s="38">
        <f t="shared" ref="AV462" si="91">AU462/(256+66)</f>
        <v>38.509316770186331</v>
      </c>
      <c r="AW462" s="64" t="s">
        <v>512</v>
      </c>
      <c r="BK462" s="38">
        <v>7.9119999999999999</v>
      </c>
      <c r="BL462" s="38">
        <v>11.09</v>
      </c>
      <c r="BM462" s="38" t="s">
        <v>510</v>
      </c>
      <c r="DS462" s="12"/>
      <c r="DU462" s="15"/>
      <c r="FA462" s="38" t="s">
        <v>513</v>
      </c>
      <c r="FB462" s="38" t="s">
        <v>854</v>
      </c>
      <c r="FC462" s="38">
        <v>26</v>
      </c>
    </row>
    <row r="463" spans="1:159" s="38" customFormat="1" x14ac:dyDescent="0.25">
      <c r="A463" s="38">
        <v>26</v>
      </c>
      <c r="B463" s="38" t="s">
        <v>495</v>
      </c>
      <c r="C463" s="38" t="s">
        <v>496</v>
      </c>
      <c r="D463" s="38">
        <v>2015</v>
      </c>
      <c r="E463" s="38">
        <v>2012</v>
      </c>
      <c r="F463" s="38" t="s">
        <v>357</v>
      </c>
      <c r="G463" s="38" t="s">
        <v>497</v>
      </c>
      <c r="H463" s="38">
        <f t="shared" si="69"/>
        <v>35.39</v>
      </c>
      <c r="I463" s="38">
        <f t="shared" si="70"/>
        <v>-78.03</v>
      </c>
      <c r="J463" s="38">
        <v>24.3</v>
      </c>
      <c r="P463" s="57" t="s">
        <v>179</v>
      </c>
      <c r="Q463" s="57"/>
      <c r="R463" s="57" t="s">
        <v>503</v>
      </c>
      <c r="S463" s="57" t="s">
        <v>1647</v>
      </c>
      <c r="T463" s="57" t="s">
        <v>1647</v>
      </c>
      <c r="X463" s="38" t="s">
        <v>228</v>
      </c>
      <c r="AB463" s="38" t="s">
        <v>1562</v>
      </c>
      <c r="AC463" s="38" t="s">
        <v>301</v>
      </c>
      <c r="AD463" s="153" t="str">
        <f t="shared" si="79"/>
        <v>Vetch</v>
      </c>
      <c r="AE463" s="38" t="s">
        <v>167</v>
      </c>
      <c r="AJ463" s="38" t="s">
        <v>509</v>
      </c>
      <c r="AK463" s="38" t="s">
        <v>509</v>
      </c>
      <c r="AL463" s="38" t="s">
        <v>230</v>
      </c>
      <c r="AM463" s="38">
        <v>0</v>
      </c>
      <c r="AN463" s="38">
        <v>0</v>
      </c>
      <c r="AO463" s="38" t="s">
        <v>230</v>
      </c>
      <c r="AP463" s="38" t="s">
        <v>208</v>
      </c>
      <c r="AQ463" s="38">
        <v>4</v>
      </c>
      <c r="AR463" s="38">
        <v>4</v>
      </c>
      <c r="AS463" s="38" t="s">
        <v>404</v>
      </c>
      <c r="AU463" s="38">
        <f>(8.7+2.5)*1000</f>
        <v>11200</v>
      </c>
      <c r="AV463" s="38">
        <f t="shared" ref="AV463" si="92">AU463/(288+71)</f>
        <v>31.197771587743734</v>
      </c>
      <c r="AW463" s="64" t="s">
        <v>512</v>
      </c>
      <c r="BK463" s="38">
        <v>7.9119999999999999</v>
      </c>
      <c r="BL463" s="38">
        <v>17.7</v>
      </c>
      <c r="BM463" s="38" t="s">
        <v>510</v>
      </c>
      <c r="DS463" s="12"/>
      <c r="DU463" s="15"/>
      <c r="FA463" s="38" t="s">
        <v>513</v>
      </c>
      <c r="FB463" s="38" t="s">
        <v>854</v>
      </c>
      <c r="FC463" s="38">
        <v>26</v>
      </c>
    </row>
    <row r="464" spans="1:159" s="38" customFormat="1" x14ac:dyDescent="0.25">
      <c r="A464" s="38">
        <v>26</v>
      </c>
      <c r="B464" s="38" t="s">
        <v>495</v>
      </c>
      <c r="C464" s="38" t="s">
        <v>496</v>
      </c>
      <c r="D464" s="38">
        <v>2015</v>
      </c>
      <c r="E464" s="38">
        <v>2012</v>
      </c>
      <c r="F464" s="38" t="s">
        <v>357</v>
      </c>
      <c r="G464" s="38" t="s">
        <v>497</v>
      </c>
      <c r="H464" s="38">
        <f t="shared" si="69"/>
        <v>35.39</v>
      </c>
      <c r="I464" s="38">
        <f t="shared" si="70"/>
        <v>-78.03</v>
      </c>
      <c r="J464" s="38">
        <v>24.3</v>
      </c>
      <c r="P464" s="57" t="s">
        <v>179</v>
      </c>
      <c r="Q464" s="57"/>
      <c r="R464" s="57" t="s">
        <v>504</v>
      </c>
      <c r="S464" s="57" t="s">
        <v>1647</v>
      </c>
      <c r="T464" s="57" t="s">
        <v>1647</v>
      </c>
      <c r="X464" s="38" t="s">
        <v>228</v>
      </c>
      <c r="AB464" s="38" t="s">
        <v>1562</v>
      </c>
      <c r="AC464" s="38" t="s">
        <v>500</v>
      </c>
      <c r="AD464" s="153" t="str">
        <f t="shared" si="79"/>
        <v>Pea</v>
      </c>
      <c r="AE464" s="38" t="s">
        <v>167</v>
      </c>
      <c r="AJ464" s="38" t="s">
        <v>509</v>
      </c>
      <c r="AK464" s="38" t="s">
        <v>509</v>
      </c>
      <c r="AL464" s="38" t="s">
        <v>230</v>
      </c>
      <c r="AM464" s="38">
        <v>0</v>
      </c>
      <c r="AN464" s="38">
        <v>0</v>
      </c>
      <c r="AO464" s="38" t="s">
        <v>230</v>
      </c>
      <c r="AP464" s="38" t="s">
        <v>208</v>
      </c>
      <c r="AQ464" s="38">
        <v>4</v>
      </c>
      <c r="AR464" s="38">
        <v>4</v>
      </c>
      <c r="AS464" s="38" t="s">
        <v>404</v>
      </c>
      <c r="AU464" s="38">
        <f>(6.5+1.7)*1000</f>
        <v>8200</v>
      </c>
      <c r="AV464" s="38">
        <f t="shared" ref="AV464" si="93">AU464/(205+53)</f>
        <v>31.782945736434108</v>
      </c>
      <c r="AW464" s="64" t="s">
        <v>512</v>
      </c>
      <c r="BK464" s="38">
        <v>7.4219999999999997</v>
      </c>
      <c r="BL464" s="38">
        <v>16.312999999999999</v>
      </c>
      <c r="BM464" s="38" t="s">
        <v>510</v>
      </c>
      <c r="DS464" s="12"/>
      <c r="DU464" s="15"/>
      <c r="FA464" s="38" t="s">
        <v>513</v>
      </c>
      <c r="FB464" s="38" t="s">
        <v>854</v>
      </c>
      <c r="FC464" s="38">
        <v>26</v>
      </c>
    </row>
    <row r="465" spans="1:159" s="38" customFormat="1" x14ac:dyDescent="0.25">
      <c r="A465" s="38">
        <v>26</v>
      </c>
      <c r="B465" s="38" t="s">
        <v>495</v>
      </c>
      <c r="C465" s="38" t="s">
        <v>496</v>
      </c>
      <c r="D465" s="38">
        <v>2015</v>
      </c>
      <c r="E465" s="38">
        <v>2012</v>
      </c>
      <c r="F465" s="38" t="s">
        <v>357</v>
      </c>
      <c r="G465" s="38" t="s">
        <v>497</v>
      </c>
      <c r="H465" s="38">
        <f t="shared" si="69"/>
        <v>35.39</v>
      </c>
      <c r="I465" s="38">
        <f t="shared" si="70"/>
        <v>-78.03</v>
      </c>
      <c r="J465" s="38">
        <v>24.3</v>
      </c>
      <c r="P465" s="57" t="s">
        <v>179</v>
      </c>
      <c r="Q465" s="57"/>
      <c r="R465" s="57" t="s">
        <v>504</v>
      </c>
      <c r="S465" s="57" t="s">
        <v>1647</v>
      </c>
      <c r="T465" s="57" t="s">
        <v>1647</v>
      </c>
      <c r="X465" s="38" t="s">
        <v>228</v>
      </c>
      <c r="AB465" s="38" t="s">
        <v>1562</v>
      </c>
      <c r="AC465" s="38" t="s">
        <v>501</v>
      </c>
      <c r="AD465" s="153" t="str">
        <f t="shared" si="79"/>
        <v>Clover</v>
      </c>
      <c r="AE465" s="38" t="s">
        <v>167</v>
      </c>
      <c r="AJ465" s="38" t="s">
        <v>509</v>
      </c>
      <c r="AK465" s="38" t="s">
        <v>509</v>
      </c>
      <c r="AL465" s="38" t="s">
        <v>230</v>
      </c>
      <c r="AM465" s="38">
        <v>0</v>
      </c>
      <c r="AN465" s="38">
        <v>0</v>
      </c>
      <c r="AO465" s="38" t="s">
        <v>230</v>
      </c>
      <c r="AP465" s="38" t="s">
        <v>208</v>
      </c>
      <c r="AQ465" s="38">
        <v>4</v>
      </c>
      <c r="AR465" s="38">
        <v>4</v>
      </c>
      <c r="AS465" s="38" t="s">
        <v>404</v>
      </c>
      <c r="AU465" s="38">
        <f>(9.6+2.8)*1000</f>
        <v>12399.999999999998</v>
      </c>
      <c r="AV465" s="38">
        <f t="shared" ref="AV465" si="94">AU465/(256+66)</f>
        <v>38.509316770186331</v>
      </c>
      <c r="AW465" s="64" t="s">
        <v>512</v>
      </c>
      <c r="BK465" s="38">
        <v>7.4219999999999997</v>
      </c>
      <c r="BL465" s="38">
        <v>14.927</v>
      </c>
      <c r="BM465" s="38" t="s">
        <v>510</v>
      </c>
      <c r="DS465" s="12"/>
      <c r="DU465" s="15"/>
      <c r="FA465" s="38" t="s">
        <v>513</v>
      </c>
      <c r="FB465" s="38" t="s">
        <v>854</v>
      </c>
      <c r="FC465" s="38">
        <v>26</v>
      </c>
    </row>
    <row r="466" spans="1:159" s="38" customFormat="1" x14ac:dyDescent="0.25">
      <c r="A466" s="38">
        <v>26</v>
      </c>
      <c r="B466" s="38" t="s">
        <v>495</v>
      </c>
      <c r="C466" s="38" t="s">
        <v>496</v>
      </c>
      <c r="D466" s="38">
        <v>2015</v>
      </c>
      <c r="E466" s="38">
        <v>2012</v>
      </c>
      <c r="F466" s="38" t="s">
        <v>357</v>
      </c>
      <c r="G466" s="38" t="s">
        <v>497</v>
      </c>
      <c r="H466" s="38">
        <f t="shared" si="69"/>
        <v>35.39</v>
      </c>
      <c r="I466" s="38">
        <f t="shared" si="70"/>
        <v>-78.03</v>
      </c>
      <c r="J466" s="38">
        <v>24.3</v>
      </c>
      <c r="P466" s="57" t="s">
        <v>179</v>
      </c>
      <c r="Q466" s="57"/>
      <c r="R466" s="57" t="s">
        <v>504</v>
      </c>
      <c r="S466" s="57" t="s">
        <v>1647</v>
      </c>
      <c r="T466" s="57" t="s">
        <v>1647</v>
      </c>
      <c r="X466" s="38" t="s">
        <v>228</v>
      </c>
      <c r="AB466" s="38" t="s">
        <v>1562</v>
      </c>
      <c r="AC466" s="38" t="s">
        <v>301</v>
      </c>
      <c r="AD466" s="153" t="str">
        <f t="shared" si="79"/>
        <v>Vetch</v>
      </c>
      <c r="AE466" s="38" t="s">
        <v>167</v>
      </c>
      <c r="AJ466" s="38" t="s">
        <v>509</v>
      </c>
      <c r="AK466" s="38" t="s">
        <v>509</v>
      </c>
      <c r="AL466" s="38" t="s">
        <v>230</v>
      </c>
      <c r="AM466" s="38">
        <v>0</v>
      </c>
      <c r="AN466" s="38">
        <v>0</v>
      </c>
      <c r="AO466" s="38" t="s">
        <v>230</v>
      </c>
      <c r="AP466" s="38" t="s">
        <v>208</v>
      </c>
      <c r="AQ466" s="38">
        <v>4</v>
      </c>
      <c r="AR466" s="38">
        <v>4</v>
      </c>
      <c r="AS466" s="38" t="s">
        <v>404</v>
      </c>
      <c r="AU466" s="38">
        <f>(8.7+2.5)*1000</f>
        <v>11200</v>
      </c>
      <c r="AV466" s="38">
        <f t="shared" ref="AV466" si="95">AU466/(288+71)</f>
        <v>31.197771587743734</v>
      </c>
      <c r="AW466" s="64" t="s">
        <v>512</v>
      </c>
      <c r="BK466" s="38">
        <v>7.4219999999999997</v>
      </c>
      <c r="BL466" s="38">
        <v>23.33</v>
      </c>
      <c r="BM466" s="38" t="s">
        <v>510</v>
      </c>
      <c r="DS466" s="12"/>
      <c r="DU466" s="15"/>
      <c r="FA466" s="38" t="s">
        <v>513</v>
      </c>
      <c r="FB466" s="38" t="s">
        <v>854</v>
      </c>
      <c r="FC466" s="38">
        <v>26</v>
      </c>
    </row>
    <row r="467" spans="1:159" s="38" customFormat="1" x14ac:dyDescent="0.25">
      <c r="A467" s="38">
        <v>26</v>
      </c>
      <c r="B467" s="38" t="s">
        <v>495</v>
      </c>
      <c r="C467" s="38" t="s">
        <v>496</v>
      </c>
      <c r="D467" s="38">
        <v>2015</v>
      </c>
      <c r="E467" s="38">
        <v>2012</v>
      </c>
      <c r="F467" s="38" t="s">
        <v>357</v>
      </c>
      <c r="G467" s="38" t="s">
        <v>497</v>
      </c>
      <c r="H467" s="38">
        <f t="shared" si="69"/>
        <v>35.39</v>
      </c>
      <c r="I467" s="38">
        <f t="shared" si="70"/>
        <v>-78.03</v>
      </c>
      <c r="J467" s="38">
        <v>24.3</v>
      </c>
      <c r="P467" s="57" t="s">
        <v>179</v>
      </c>
      <c r="Q467" s="57"/>
      <c r="R467" s="57" t="s">
        <v>505</v>
      </c>
      <c r="S467" s="57" t="s">
        <v>1647</v>
      </c>
      <c r="T467" s="57" t="s">
        <v>1647</v>
      </c>
      <c r="X467" s="38" t="s">
        <v>228</v>
      </c>
      <c r="AB467" s="38" t="s">
        <v>1562</v>
      </c>
      <c r="AC467" s="38" t="s">
        <v>500</v>
      </c>
      <c r="AD467" s="153" t="str">
        <f t="shared" si="79"/>
        <v>Pea</v>
      </c>
      <c r="AE467" s="38" t="s">
        <v>167</v>
      </c>
      <c r="AJ467" s="38" t="s">
        <v>509</v>
      </c>
      <c r="AK467" s="38" t="s">
        <v>509</v>
      </c>
      <c r="AL467" s="38" t="s">
        <v>230</v>
      </c>
      <c r="AM467" s="38">
        <v>0</v>
      </c>
      <c r="AN467" s="38">
        <v>0</v>
      </c>
      <c r="AO467" s="38" t="s">
        <v>230</v>
      </c>
      <c r="AP467" s="38" t="s">
        <v>208</v>
      </c>
      <c r="AQ467" s="38">
        <v>4</v>
      </c>
      <c r="AR467" s="38">
        <v>4</v>
      </c>
      <c r="AS467" s="38" t="s">
        <v>404</v>
      </c>
      <c r="AU467" s="38">
        <f>(6.5+1.7)*1000</f>
        <v>8200</v>
      </c>
      <c r="AV467" s="38">
        <f t="shared" ref="AV467" si="96">AU467/(205+53)</f>
        <v>31.782945736434108</v>
      </c>
      <c r="AW467" s="64" t="s">
        <v>512</v>
      </c>
      <c r="BK467" s="38">
        <v>5.5469999999999997</v>
      </c>
      <c r="BL467" s="38">
        <v>6.77</v>
      </c>
      <c r="BM467" s="38" t="s">
        <v>510</v>
      </c>
      <c r="DS467" s="12"/>
      <c r="DU467" s="15"/>
      <c r="FA467" s="38" t="s">
        <v>513</v>
      </c>
      <c r="FB467" s="38" t="s">
        <v>854</v>
      </c>
      <c r="FC467" s="38">
        <v>26</v>
      </c>
    </row>
    <row r="468" spans="1:159" s="38" customFormat="1" x14ac:dyDescent="0.25">
      <c r="A468" s="38">
        <v>26</v>
      </c>
      <c r="B468" s="38" t="s">
        <v>495</v>
      </c>
      <c r="C468" s="38" t="s">
        <v>496</v>
      </c>
      <c r="D468" s="38">
        <v>2015</v>
      </c>
      <c r="E468" s="38">
        <v>2012</v>
      </c>
      <c r="F468" s="38" t="s">
        <v>357</v>
      </c>
      <c r="G468" s="38" t="s">
        <v>497</v>
      </c>
      <c r="H468" s="38">
        <f t="shared" si="69"/>
        <v>35.39</v>
      </c>
      <c r="I468" s="38">
        <f t="shared" si="70"/>
        <v>-78.03</v>
      </c>
      <c r="J468" s="38">
        <v>24.3</v>
      </c>
      <c r="P468" s="57" t="s">
        <v>179</v>
      </c>
      <c r="Q468" s="57"/>
      <c r="R468" s="57" t="s">
        <v>505</v>
      </c>
      <c r="S468" s="57" t="s">
        <v>1647</v>
      </c>
      <c r="T468" s="57" t="s">
        <v>1647</v>
      </c>
      <c r="X468" s="38" t="s">
        <v>228</v>
      </c>
      <c r="AB468" s="38" t="s">
        <v>1562</v>
      </c>
      <c r="AC468" s="38" t="s">
        <v>501</v>
      </c>
      <c r="AD468" s="153" t="str">
        <f t="shared" si="79"/>
        <v>Clover</v>
      </c>
      <c r="AE468" s="38" t="s">
        <v>167</v>
      </c>
      <c r="AJ468" s="38" t="s">
        <v>509</v>
      </c>
      <c r="AK468" s="38" t="s">
        <v>509</v>
      </c>
      <c r="AL468" s="38" t="s">
        <v>230</v>
      </c>
      <c r="AM468" s="38">
        <v>0</v>
      </c>
      <c r="AN468" s="38">
        <v>0</v>
      </c>
      <c r="AO468" s="38" t="s">
        <v>230</v>
      </c>
      <c r="AP468" s="38" t="s">
        <v>208</v>
      </c>
      <c r="AQ468" s="38">
        <v>4</v>
      </c>
      <c r="AR468" s="38">
        <v>4</v>
      </c>
      <c r="AS468" s="38" t="s">
        <v>404</v>
      </c>
      <c r="AU468" s="38">
        <f>(9.6+2.8)*1000</f>
        <v>12399.999999999998</v>
      </c>
      <c r="AV468" s="38">
        <f t="shared" ref="AV468" si="97">AU468/(256+66)</f>
        <v>38.509316770186331</v>
      </c>
      <c r="AW468" s="64" t="s">
        <v>512</v>
      </c>
      <c r="BK468" s="38">
        <v>5.5469999999999997</v>
      </c>
      <c r="BL468" s="38">
        <v>6.77</v>
      </c>
      <c r="BM468" s="38" t="s">
        <v>510</v>
      </c>
      <c r="DS468" s="12"/>
      <c r="DU468" s="15"/>
      <c r="FA468" s="38" t="s">
        <v>513</v>
      </c>
      <c r="FB468" s="38" t="s">
        <v>854</v>
      </c>
      <c r="FC468" s="38">
        <v>26</v>
      </c>
    </row>
    <row r="469" spans="1:159" s="38" customFormat="1" x14ac:dyDescent="0.25">
      <c r="A469" s="38">
        <v>26</v>
      </c>
      <c r="B469" s="38" t="s">
        <v>495</v>
      </c>
      <c r="C469" s="38" t="s">
        <v>496</v>
      </c>
      <c r="D469" s="38">
        <v>2015</v>
      </c>
      <c r="E469" s="38">
        <v>2012</v>
      </c>
      <c r="F469" s="38" t="s">
        <v>357</v>
      </c>
      <c r="G469" s="38" t="s">
        <v>497</v>
      </c>
      <c r="H469" s="38">
        <f t="shared" si="69"/>
        <v>35.39</v>
      </c>
      <c r="I469" s="38">
        <f t="shared" si="70"/>
        <v>-78.03</v>
      </c>
      <c r="J469" s="38">
        <v>24.3</v>
      </c>
      <c r="P469" s="57" t="s">
        <v>179</v>
      </c>
      <c r="Q469" s="57"/>
      <c r="R469" s="57" t="s">
        <v>505</v>
      </c>
      <c r="S469" s="57" t="s">
        <v>1647</v>
      </c>
      <c r="T469" s="57" t="s">
        <v>1647</v>
      </c>
      <c r="X469" s="38" t="s">
        <v>228</v>
      </c>
      <c r="AB469" s="38" t="s">
        <v>1562</v>
      </c>
      <c r="AC469" s="38" t="s">
        <v>301</v>
      </c>
      <c r="AD469" s="153" t="str">
        <f t="shared" si="79"/>
        <v>Vetch</v>
      </c>
      <c r="AE469" s="38" t="s">
        <v>167</v>
      </c>
      <c r="AJ469" s="38" t="s">
        <v>509</v>
      </c>
      <c r="AK469" s="38" t="s">
        <v>509</v>
      </c>
      <c r="AL469" s="38" t="s">
        <v>230</v>
      </c>
      <c r="AM469" s="38">
        <v>0</v>
      </c>
      <c r="AN469" s="38">
        <v>0</v>
      </c>
      <c r="AO469" s="38" t="s">
        <v>230</v>
      </c>
      <c r="AP469" s="38" t="s">
        <v>208</v>
      </c>
      <c r="AQ469" s="38">
        <v>4</v>
      </c>
      <c r="AR469" s="38">
        <v>4</v>
      </c>
      <c r="AS469" s="38" t="s">
        <v>404</v>
      </c>
      <c r="AU469" s="38">
        <f>(8.7+2.5)*1000</f>
        <v>11200</v>
      </c>
      <c r="AV469" s="38">
        <f t="shared" ref="AV469" si="98">AU469/(288+71)</f>
        <v>31.197771587743734</v>
      </c>
      <c r="AW469" s="64" t="s">
        <v>512</v>
      </c>
      <c r="BK469" s="38">
        <v>5.5469999999999997</v>
      </c>
      <c r="BL469" s="38">
        <v>6.77</v>
      </c>
      <c r="BM469" s="38" t="s">
        <v>510</v>
      </c>
      <c r="DS469" s="12"/>
      <c r="DU469" s="15"/>
      <c r="FA469" s="38" t="s">
        <v>513</v>
      </c>
      <c r="FB469" s="38" t="s">
        <v>854</v>
      </c>
      <c r="FC469" s="38">
        <v>26</v>
      </c>
    </row>
    <row r="470" spans="1:159" s="38" customFormat="1" x14ac:dyDescent="0.25">
      <c r="A470" s="38">
        <v>26</v>
      </c>
      <c r="B470" s="38" t="s">
        <v>495</v>
      </c>
      <c r="C470" s="38" t="s">
        <v>496</v>
      </c>
      <c r="D470" s="38">
        <v>2015</v>
      </c>
      <c r="E470" s="38">
        <v>2012</v>
      </c>
      <c r="F470" s="38" t="s">
        <v>357</v>
      </c>
      <c r="G470" s="38" t="s">
        <v>497</v>
      </c>
      <c r="H470" s="38">
        <f t="shared" si="69"/>
        <v>35.39</v>
      </c>
      <c r="I470" s="38">
        <f t="shared" si="70"/>
        <v>-78.03</v>
      </c>
      <c r="J470" s="38">
        <v>24.3</v>
      </c>
      <c r="P470" s="57" t="s">
        <v>179</v>
      </c>
      <c r="Q470" s="57"/>
      <c r="R470" s="57" t="s">
        <v>506</v>
      </c>
      <c r="S470" s="57" t="s">
        <v>1647</v>
      </c>
      <c r="T470" s="57" t="s">
        <v>1647</v>
      </c>
      <c r="X470" s="38" t="s">
        <v>228</v>
      </c>
      <c r="AB470" s="38" t="s">
        <v>1562</v>
      </c>
      <c r="AC470" s="38" t="s">
        <v>500</v>
      </c>
      <c r="AD470" s="153" t="str">
        <f t="shared" si="79"/>
        <v>Pea</v>
      </c>
      <c r="AE470" s="38" t="s">
        <v>167</v>
      </c>
      <c r="AJ470" s="38" t="s">
        <v>509</v>
      </c>
      <c r="AK470" s="38" t="s">
        <v>509</v>
      </c>
      <c r="AL470" s="38" t="s">
        <v>230</v>
      </c>
      <c r="AM470" s="38">
        <v>0</v>
      </c>
      <c r="AN470" s="38">
        <v>0</v>
      </c>
      <c r="AO470" s="38" t="s">
        <v>230</v>
      </c>
      <c r="AP470" s="38" t="s">
        <v>208</v>
      </c>
      <c r="AQ470" s="38">
        <v>4</v>
      </c>
      <c r="AR470" s="38">
        <v>4</v>
      </c>
      <c r="AS470" s="38" t="s">
        <v>404</v>
      </c>
      <c r="AU470" s="38">
        <f>(6.5+1.7)*1000</f>
        <v>8200</v>
      </c>
      <c r="AV470" s="38">
        <f t="shared" ref="AV470" si="99">AU470/(205+53)</f>
        <v>31.782945736434108</v>
      </c>
      <c r="AW470" s="64" t="s">
        <v>512</v>
      </c>
      <c r="BK470" s="38">
        <v>7.7489999999999997</v>
      </c>
      <c r="BL470" s="38">
        <v>5.71</v>
      </c>
      <c r="BM470" s="38" t="s">
        <v>510</v>
      </c>
      <c r="DS470" s="12"/>
      <c r="DU470" s="15"/>
      <c r="FA470" s="38" t="s">
        <v>513</v>
      </c>
      <c r="FB470" s="38" t="s">
        <v>854</v>
      </c>
      <c r="FC470" s="38">
        <v>26</v>
      </c>
    </row>
    <row r="471" spans="1:159" s="38" customFormat="1" x14ac:dyDescent="0.25">
      <c r="A471" s="38">
        <v>26</v>
      </c>
      <c r="B471" s="38" t="s">
        <v>495</v>
      </c>
      <c r="C471" s="38" t="s">
        <v>496</v>
      </c>
      <c r="D471" s="38">
        <v>2015</v>
      </c>
      <c r="E471" s="38">
        <v>2012</v>
      </c>
      <c r="F471" s="38" t="s">
        <v>357</v>
      </c>
      <c r="G471" s="38" t="s">
        <v>497</v>
      </c>
      <c r="H471" s="38">
        <f t="shared" si="69"/>
        <v>35.39</v>
      </c>
      <c r="I471" s="38">
        <f t="shared" si="70"/>
        <v>-78.03</v>
      </c>
      <c r="J471" s="38">
        <v>24.3</v>
      </c>
      <c r="P471" s="57" t="s">
        <v>179</v>
      </c>
      <c r="Q471" s="57"/>
      <c r="R471" s="57" t="s">
        <v>506</v>
      </c>
      <c r="S471" s="57" t="s">
        <v>1647</v>
      </c>
      <c r="T471" s="57" t="s">
        <v>1647</v>
      </c>
      <c r="X471" s="38" t="s">
        <v>228</v>
      </c>
      <c r="AB471" s="38" t="s">
        <v>1562</v>
      </c>
      <c r="AC471" s="38" t="s">
        <v>501</v>
      </c>
      <c r="AD471" s="153" t="str">
        <f t="shared" si="79"/>
        <v>Clover</v>
      </c>
      <c r="AE471" s="38" t="s">
        <v>167</v>
      </c>
      <c r="AJ471" s="38" t="s">
        <v>509</v>
      </c>
      <c r="AK471" s="38" t="s">
        <v>509</v>
      </c>
      <c r="AL471" s="38" t="s">
        <v>230</v>
      </c>
      <c r="AM471" s="38">
        <v>0</v>
      </c>
      <c r="AN471" s="38">
        <v>0</v>
      </c>
      <c r="AO471" s="38" t="s">
        <v>230</v>
      </c>
      <c r="AP471" s="38" t="s">
        <v>208</v>
      </c>
      <c r="AQ471" s="38">
        <v>4</v>
      </c>
      <c r="AR471" s="38">
        <v>4</v>
      </c>
      <c r="AS471" s="38" t="s">
        <v>404</v>
      </c>
      <c r="AU471" s="38">
        <f>(9.6+2.8)*1000</f>
        <v>12399.999999999998</v>
      </c>
      <c r="AV471" s="38">
        <f t="shared" ref="AV471" si="100">AU471/(256+66)</f>
        <v>38.509316770186331</v>
      </c>
      <c r="AW471" s="64" t="s">
        <v>512</v>
      </c>
      <c r="BK471" s="38">
        <v>7.7489999999999997</v>
      </c>
      <c r="BL471" s="38">
        <v>4.4000000000000004</v>
      </c>
      <c r="BM471" s="38" t="s">
        <v>510</v>
      </c>
      <c r="DS471" s="12"/>
      <c r="DU471" s="15"/>
      <c r="FA471" s="38" t="s">
        <v>513</v>
      </c>
      <c r="FB471" s="38" t="s">
        <v>854</v>
      </c>
      <c r="FC471" s="38">
        <v>26</v>
      </c>
    </row>
    <row r="472" spans="1:159" s="38" customFormat="1" x14ac:dyDescent="0.25">
      <c r="A472" s="38">
        <v>26</v>
      </c>
      <c r="B472" s="38" t="s">
        <v>495</v>
      </c>
      <c r="C472" s="38" t="s">
        <v>496</v>
      </c>
      <c r="D472" s="38">
        <v>2015</v>
      </c>
      <c r="E472" s="38">
        <v>2012</v>
      </c>
      <c r="F472" s="38" t="s">
        <v>357</v>
      </c>
      <c r="G472" s="38" t="s">
        <v>497</v>
      </c>
      <c r="H472" s="38">
        <f t="shared" si="69"/>
        <v>35.39</v>
      </c>
      <c r="I472" s="38">
        <f t="shared" si="70"/>
        <v>-78.03</v>
      </c>
      <c r="J472" s="38">
        <v>24.3</v>
      </c>
      <c r="P472" s="57" t="s">
        <v>179</v>
      </c>
      <c r="Q472" s="57"/>
      <c r="R472" s="57" t="s">
        <v>506</v>
      </c>
      <c r="S472" s="57" t="s">
        <v>1647</v>
      </c>
      <c r="T472" s="57" t="s">
        <v>1647</v>
      </c>
      <c r="X472" s="38" t="s">
        <v>228</v>
      </c>
      <c r="AB472" s="38" t="s">
        <v>1562</v>
      </c>
      <c r="AC472" s="38" t="s">
        <v>301</v>
      </c>
      <c r="AD472" s="153" t="str">
        <f t="shared" si="79"/>
        <v>Vetch</v>
      </c>
      <c r="AE472" s="38" t="s">
        <v>167</v>
      </c>
      <c r="AJ472" s="38" t="s">
        <v>509</v>
      </c>
      <c r="AK472" s="38" t="s">
        <v>509</v>
      </c>
      <c r="AL472" s="38" t="s">
        <v>230</v>
      </c>
      <c r="AM472" s="38">
        <v>0</v>
      </c>
      <c r="AN472" s="38">
        <v>0</v>
      </c>
      <c r="AO472" s="38" t="s">
        <v>230</v>
      </c>
      <c r="AP472" s="38" t="s">
        <v>208</v>
      </c>
      <c r="AQ472" s="38">
        <v>4</v>
      </c>
      <c r="AR472" s="38">
        <v>4</v>
      </c>
      <c r="AS472" s="38" t="s">
        <v>404</v>
      </c>
      <c r="AU472" s="38">
        <f>(8.7+2.5)*1000</f>
        <v>11200</v>
      </c>
      <c r="AV472" s="38">
        <f t="shared" ref="AV472" si="101">AU472/(288+71)</f>
        <v>31.197771587743734</v>
      </c>
      <c r="AW472" s="64" t="s">
        <v>512</v>
      </c>
      <c r="BK472" s="38">
        <v>7.7489999999999997</v>
      </c>
      <c r="BL472" s="38">
        <v>5.7</v>
      </c>
      <c r="BM472" s="38" t="s">
        <v>510</v>
      </c>
      <c r="DS472" s="12"/>
      <c r="DU472" s="15"/>
      <c r="FA472" s="38" t="s">
        <v>513</v>
      </c>
      <c r="FB472" s="38" t="s">
        <v>854</v>
      </c>
      <c r="FC472" s="38">
        <v>26</v>
      </c>
    </row>
    <row r="473" spans="1:159" s="38" customFormat="1" x14ac:dyDescent="0.25">
      <c r="A473" s="38">
        <v>26</v>
      </c>
      <c r="B473" s="38" t="s">
        <v>495</v>
      </c>
      <c r="C473" s="38" t="s">
        <v>496</v>
      </c>
      <c r="D473" s="38">
        <v>2015</v>
      </c>
      <c r="E473" s="38">
        <v>2012</v>
      </c>
      <c r="F473" s="38" t="s">
        <v>357</v>
      </c>
      <c r="G473" s="38" t="s">
        <v>497</v>
      </c>
      <c r="H473" s="38">
        <f t="shared" si="69"/>
        <v>35.39</v>
      </c>
      <c r="I473" s="38">
        <f t="shared" si="70"/>
        <v>-78.03</v>
      </c>
      <c r="J473" s="38">
        <v>24.3</v>
      </c>
      <c r="P473" s="57" t="s">
        <v>179</v>
      </c>
      <c r="Q473" s="57"/>
      <c r="R473" s="57" t="s">
        <v>507</v>
      </c>
      <c r="S473" s="57" t="s">
        <v>1647</v>
      </c>
      <c r="T473" s="57" t="s">
        <v>1647</v>
      </c>
      <c r="X473" s="38" t="s">
        <v>228</v>
      </c>
      <c r="AB473" s="38" t="s">
        <v>1562</v>
      </c>
      <c r="AC473" s="38" t="s">
        <v>500</v>
      </c>
      <c r="AD473" s="153" t="str">
        <f t="shared" si="79"/>
        <v>Pea</v>
      </c>
      <c r="AE473" s="38" t="s">
        <v>167</v>
      </c>
      <c r="AJ473" s="38" t="s">
        <v>509</v>
      </c>
      <c r="AK473" s="38" t="s">
        <v>509</v>
      </c>
      <c r="AL473" s="38" t="s">
        <v>230</v>
      </c>
      <c r="AM473" s="38">
        <v>0</v>
      </c>
      <c r="AN473" s="38">
        <v>0</v>
      </c>
      <c r="AO473" s="38" t="s">
        <v>230</v>
      </c>
      <c r="AP473" s="38" t="s">
        <v>208</v>
      </c>
      <c r="AQ473" s="38">
        <v>4</v>
      </c>
      <c r="AR473" s="38">
        <v>4</v>
      </c>
      <c r="AS473" s="38" t="s">
        <v>404</v>
      </c>
      <c r="AU473" s="38">
        <f>(6.5+1.7)*1000</f>
        <v>8200</v>
      </c>
      <c r="AV473" s="38">
        <f t="shared" ref="AV473" si="102">AU473/(205+53)</f>
        <v>31.782945736434108</v>
      </c>
      <c r="AW473" s="64" t="s">
        <v>512</v>
      </c>
      <c r="BK473" s="38">
        <v>4.3230000000000004</v>
      </c>
      <c r="BL473" s="38">
        <v>3.18</v>
      </c>
      <c r="BM473" s="38" t="s">
        <v>510</v>
      </c>
      <c r="DS473" s="12"/>
      <c r="DU473" s="15"/>
      <c r="FA473" s="38" t="s">
        <v>513</v>
      </c>
      <c r="FB473" s="38" t="s">
        <v>854</v>
      </c>
      <c r="FC473" s="38">
        <v>26</v>
      </c>
    </row>
    <row r="474" spans="1:159" s="38" customFormat="1" x14ac:dyDescent="0.25">
      <c r="A474" s="38">
        <v>26</v>
      </c>
      <c r="B474" s="38" t="s">
        <v>495</v>
      </c>
      <c r="C474" s="38" t="s">
        <v>496</v>
      </c>
      <c r="D474" s="38">
        <v>2015</v>
      </c>
      <c r="E474" s="38">
        <v>2012</v>
      </c>
      <c r="F474" s="38" t="s">
        <v>357</v>
      </c>
      <c r="G474" s="38" t="s">
        <v>497</v>
      </c>
      <c r="H474" s="38">
        <f t="shared" si="69"/>
        <v>35.39</v>
      </c>
      <c r="I474" s="38">
        <f t="shared" si="70"/>
        <v>-78.03</v>
      </c>
      <c r="J474" s="38">
        <v>24.3</v>
      </c>
      <c r="P474" s="57" t="s">
        <v>179</v>
      </c>
      <c r="Q474" s="57"/>
      <c r="R474" s="57" t="s">
        <v>507</v>
      </c>
      <c r="S474" s="57" t="s">
        <v>1647</v>
      </c>
      <c r="T474" s="57" t="s">
        <v>1647</v>
      </c>
      <c r="X474" s="38" t="s">
        <v>228</v>
      </c>
      <c r="AB474" s="38" t="s">
        <v>1562</v>
      </c>
      <c r="AC474" s="38" t="s">
        <v>501</v>
      </c>
      <c r="AD474" s="153" t="str">
        <f t="shared" si="79"/>
        <v>Clover</v>
      </c>
      <c r="AE474" s="38" t="s">
        <v>167</v>
      </c>
      <c r="AJ474" s="38" t="s">
        <v>509</v>
      </c>
      <c r="AK474" s="38" t="s">
        <v>509</v>
      </c>
      <c r="AL474" s="38" t="s">
        <v>230</v>
      </c>
      <c r="AM474" s="38">
        <v>0</v>
      </c>
      <c r="AN474" s="38">
        <v>0</v>
      </c>
      <c r="AO474" s="38" t="s">
        <v>230</v>
      </c>
      <c r="AP474" s="38" t="s">
        <v>208</v>
      </c>
      <c r="AQ474" s="38">
        <v>4</v>
      </c>
      <c r="AR474" s="38">
        <v>4</v>
      </c>
      <c r="AS474" s="38" t="s">
        <v>404</v>
      </c>
      <c r="AU474" s="38">
        <f>(9.6+2.8)*1000</f>
        <v>12399.999999999998</v>
      </c>
      <c r="AV474" s="38">
        <f t="shared" ref="AV474" si="103">AU474/(256+66)</f>
        <v>38.509316770186331</v>
      </c>
      <c r="AW474" s="64" t="s">
        <v>512</v>
      </c>
      <c r="BK474" s="38">
        <v>4.3230000000000004</v>
      </c>
      <c r="BL474" s="38">
        <v>4.2</v>
      </c>
      <c r="BM474" s="38" t="s">
        <v>510</v>
      </c>
      <c r="DS474" s="12"/>
      <c r="DU474" s="15"/>
      <c r="FA474" s="38" t="s">
        <v>513</v>
      </c>
      <c r="FB474" s="38" t="s">
        <v>854</v>
      </c>
      <c r="FC474" s="38">
        <v>26</v>
      </c>
    </row>
    <row r="475" spans="1:159" s="38" customFormat="1" x14ac:dyDescent="0.25">
      <c r="A475" s="38">
        <v>26</v>
      </c>
      <c r="B475" s="38" t="s">
        <v>495</v>
      </c>
      <c r="C475" s="38" t="s">
        <v>496</v>
      </c>
      <c r="D475" s="38">
        <v>2015</v>
      </c>
      <c r="E475" s="38">
        <v>2012</v>
      </c>
      <c r="F475" s="38" t="s">
        <v>357</v>
      </c>
      <c r="G475" s="38" t="s">
        <v>497</v>
      </c>
      <c r="H475" s="38">
        <f t="shared" si="69"/>
        <v>35.39</v>
      </c>
      <c r="I475" s="38">
        <f t="shared" si="70"/>
        <v>-78.03</v>
      </c>
      <c r="J475" s="38">
        <v>24.3</v>
      </c>
      <c r="P475" s="57" t="s">
        <v>179</v>
      </c>
      <c r="Q475" s="57"/>
      <c r="R475" s="57" t="s">
        <v>507</v>
      </c>
      <c r="S475" s="57" t="s">
        <v>1647</v>
      </c>
      <c r="T475" s="57" t="s">
        <v>1647</v>
      </c>
      <c r="X475" s="38" t="s">
        <v>228</v>
      </c>
      <c r="AB475" s="38" t="s">
        <v>1562</v>
      </c>
      <c r="AC475" s="38" t="s">
        <v>301</v>
      </c>
      <c r="AD475" s="153" t="str">
        <f t="shared" si="79"/>
        <v>Vetch</v>
      </c>
      <c r="AE475" s="38" t="s">
        <v>167</v>
      </c>
      <c r="AJ475" s="38" t="s">
        <v>509</v>
      </c>
      <c r="AK475" s="38" t="s">
        <v>509</v>
      </c>
      <c r="AL475" s="38" t="s">
        <v>230</v>
      </c>
      <c r="AM475" s="38">
        <v>0</v>
      </c>
      <c r="AN475" s="38">
        <v>0</v>
      </c>
      <c r="AO475" s="38" t="s">
        <v>230</v>
      </c>
      <c r="AP475" s="38" t="s">
        <v>208</v>
      </c>
      <c r="AQ475" s="38">
        <v>4</v>
      </c>
      <c r="AR475" s="38">
        <v>4</v>
      </c>
      <c r="AS475" s="38" t="s">
        <v>404</v>
      </c>
      <c r="AU475" s="38">
        <f>(8.7+2.5)*1000</f>
        <v>11200</v>
      </c>
      <c r="AV475" s="38">
        <f t="shared" ref="AV475" si="104">AU475/(288+71)</f>
        <v>31.197771587743734</v>
      </c>
      <c r="AW475" s="64" t="s">
        <v>512</v>
      </c>
      <c r="BK475" s="38">
        <v>4.3230000000000004</v>
      </c>
      <c r="BL475" s="38">
        <v>3.18</v>
      </c>
      <c r="BM475" s="38" t="s">
        <v>510</v>
      </c>
      <c r="DS475" s="12"/>
      <c r="DU475" s="15"/>
      <c r="FA475" s="38" t="s">
        <v>513</v>
      </c>
      <c r="FB475" s="38" t="s">
        <v>854</v>
      </c>
      <c r="FC475" s="38">
        <v>26</v>
      </c>
    </row>
    <row r="476" spans="1:159" s="38" customFormat="1" x14ac:dyDescent="0.25">
      <c r="A476" s="38">
        <v>26</v>
      </c>
      <c r="B476" s="38" t="s">
        <v>495</v>
      </c>
      <c r="C476" s="38" t="s">
        <v>496</v>
      </c>
      <c r="D476" s="38">
        <v>2015</v>
      </c>
      <c r="E476" s="38">
        <v>2012</v>
      </c>
      <c r="F476" s="38" t="s">
        <v>357</v>
      </c>
      <c r="G476" s="38" t="s">
        <v>497</v>
      </c>
      <c r="H476" s="38">
        <f t="shared" si="69"/>
        <v>35.39</v>
      </c>
      <c r="I476" s="38">
        <f t="shared" si="70"/>
        <v>-78.03</v>
      </c>
      <c r="J476" s="38">
        <v>24.3</v>
      </c>
      <c r="P476" s="57" t="s">
        <v>179</v>
      </c>
      <c r="Q476" s="57"/>
      <c r="R476" s="57" t="s">
        <v>508</v>
      </c>
      <c r="S476" s="57" t="s">
        <v>1647</v>
      </c>
      <c r="T476" s="57" t="s">
        <v>1647</v>
      </c>
      <c r="X476" s="38" t="s">
        <v>228</v>
      </c>
      <c r="AB476" s="38" t="s">
        <v>1562</v>
      </c>
      <c r="AC476" s="38" t="s">
        <v>500</v>
      </c>
      <c r="AD476" s="153" t="str">
        <f t="shared" si="79"/>
        <v>Pea</v>
      </c>
      <c r="AE476" s="38" t="s">
        <v>167</v>
      </c>
      <c r="AJ476" s="38" t="s">
        <v>509</v>
      </c>
      <c r="AK476" s="38" t="s">
        <v>509</v>
      </c>
      <c r="AL476" s="38" t="s">
        <v>230</v>
      </c>
      <c r="AM476" s="38">
        <v>0</v>
      </c>
      <c r="AN476" s="38">
        <v>0</v>
      </c>
      <c r="AO476" s="38" t="s">
        <v>230</v>
      </c>
      <c r="AP476" s="38" t="s">
        <v>208</v>
      </c>
      <c r="AQ476" s="38">
        <v>4</v>
      </c>
      <c r="AR476" s="38">
        <v>4</v>
      </c>
      <c r="AS476" s="38" t="s">
        <v>404</v>
      </c>
      <c r="AU476" s="38">
        <f>(6.5+1.7)*1000</f>
        <v>8200</v>
      </c>
      <c r="AV476" s="38">
        <f t="shared" ref="AV476" si="105">AU476/(205+53)</f>
        <v>31.782945736434108</v>
      </c>
      <c r="AW476" s="64" t="s">
        <v>512</v>
      </c>
      <c r="BK476" s="38">
        <v>4.16</v>
      </c>
      <c r="BL476" s="38">
        <v>3.1</v>
      </c>
      <c r="BM476" s="38" t="s">
        <v>510</v>
      </c>
      <c r="DS476" s="12"/>
      <c r="DU476" s="15"/>
      <c r="FA476" s="38" t="s">
        <v>513</v>
      </c>
      <c r="FB476" s="38" t="s">
        <v>854</v>
      </c>
      <c r="FC476" s="38">
        <v>26</v>
      </c>
    </row>
    <row r="477" spans="1:159" s="38" customFormat="1" x14ac:dyDescent="0.25">
      <c r="A477" s="38">
        <v>26</v>
      </c>
      <c r="B477" s="38" t="s">
        <v>495</v>
      </c>
      <c r="C477" s="38" t="s">
        <v>496</v>
      </c>
      <c r="D477" s="38">
        <v>2015</v>
      </c>
      <c r="E477" s="38">
        <v>2012</v>
      </c>
      <c r="F477" s="38" t="s">
        <v>357</v>
      </c>
      <c r="G477" s="38" t="s">
        <v>497</v>
      </c>
      <c r="H477" s="38">
        <f t="shared" si="69"/>
        <v>35.39</v>
      </c>
      <c r="I477" s="38">
        <f t="shared" si="70"/>
        <v>-78.03</v>
      </c>
      <c r="J477" s="38">
        <v>24.3</v>
      </c>
      <c r="P477" s="57" t="s">
        <v>179</v>
      </c>
      <c r="Q477" s="57"/>
      <c r="R477" s="57" t="s">
        <v>508</v>
      </c>
      <c r="S477" s="57" t="s">
        <v>1647</v>
      </c>
      <c r="T477" s="57" t="s">
        <v>1647</v>
      </c>
      <c r="X477" s="38" t="s">
        <v>228</v>
      </c>
      <c r="AB477" s="38" t="s">
        <v>1562</v>
      </c>
      <c r="AC477" s="38" t="s">
        <v>501</v>
      </c>
      <c r="AD477" s="153" t="str">
        <f t="shared" si="79"/>
        <v>Clover</v>
      </c>
      <c r="AE477" s="38" t="s">
        <v>167</v>
      </c>
      <c r="AJ477" s="38" t="s">
        <v>509</v>
      </c>
      <c r="AK477" s="38" t="s">
        <v>509</v>
      </c>
      <c r="AL477" s="38" t="s">
        <v>230</v>
      </c>
      <c r="AM477" s="38">
        <v>0</v>
      </c>
      <c r="AN477" s="38">
        <v>0</v>
      </c>
      <c r="AO477" s="38" t="s">
        <v>230</v>
      </c>
      <c r="AP477" s="38" t="s">
        <v>208</v>
      </c>
      <c r="AQ477" s="38">
        <v>4</v>
      </c>
      <c r="AR477" s="38">
        <v>4</v>
      </c>
      <c r="AS477" s="38" t="s">
        <v>404</v>
      </c>
      <c r="AU477" s="38">
        <f>(9.6+2.8)*1000</f>
        <v>12399.999999999998</v>
      </c>
      <c r="AV477" s="38">
        <f t="shared" ref="AV477" si="106">AU477/(256+66)</f>
        <v>38.509316770186331</v>
      </c>
      <c r="AW477" s="64" t="s">
        <v>512</v>
      </c>
      <c r="BK477" s="38">
        <v>4.16</v>
      </c>
      <c r="BL477" s="38">
        <v>5.3</v>
      </c>
      <c r="BM477" s="38" t="s">
        <v>510</v>
      </c>
      <c r="DS477" s="12"/>
      <c r="DU477" s="15"/>
      <c r="FA477" s="38" t="s">
        <v>513</v>
      </c>
      <c r="FB477" s="38" t="s">
        <v>854</v>
      </c>
      <c r="FC477" s="38">
        <v>26</v>
      </c>
    </row>
    <row r="478" spans="1:159" s="38" customFormat="1" x14ac:dyDescent="0.25">
      <c r="A478" s="38">
        <v>26</v>
      </c>
      <c r="B478" s="38" t="s">
        <v>495</v>
      </c>
      <c r="C478" s="38" t="s">
        <v>496</v>
      </c>
      <c r="D478" s="38">
        <v>2015</v>
      </c>
      <c r="E478" s="38">
        <v>2012</v>
      </c>
      <c r="F478" s="38" t="s">
        <v>357</v>
      </c>
      <c r="G478" s="38" t="s">
        <v>497</v>
      </c>
      <c r="H478" s="38">
        <f t="shared" si="69"/>
        <v>35.39</v>
      </c>
      <c r="I478" s="38">
        <f t="shared" si="70"/>
        <v>-78.03</v>
      </c>
      <c r="J478" s="38">
        <v>24.3</v>
      </c>
      <c r="P478" s="57" t="s">
        <v>179</v>
      </c>
      <c r="Q478" s="57"/>
      <c r="R478" s="57" t="s">
        <v>508</v>
      </c>
      <c r="S478" s="57" t="s">
        <v>1647</v>
      </c>
      <c r="T478" s="57" t="s">
        <v>1647</v>
      </c>
      <c r="X478" s="38" t="s">
        <v>228</v>
      </c>
      <c r="AB478" s="38" t="s">
        <v>1562</v>
      </c>
      <c r="AC478" s="38" t="s">
        <v>301</v>
      </c>
      <c r="AD478" s="153" t="str">
        <f t="shared" si="79"/>
        <v>Vetch</v>
      </c>
      <c r="AE478" s="38" t="s">
        <v>167</v>
      </c>
      <c r="AJ478" s="38" t="s">
        <v>509</v>
      </c>
      <c r="AK478" s="38" t="s">
        <v>509</v>
      </c>
      <c r="AL478" s="38" t="s">
        <v>230</v>
      </c>
      <c r="AM478" s="38">
        <v>0</v>
      </c>
      <c r="AN478" s="38">
        <v>0</v>
      </c>
      <c r="AO478" s="38" t="s">
        <v>230</v>
      </c>
      <c r="AP478" s="38" t="s">
        <v>208</v>
      </c>
      <c r="AQ478" s="38">
        <v>4</v>
      </c>
      <c r="AR478" s="38">
        <v>4</v>
      </c>
      <c r="AS478" s="38" t="s">
        <v>404</v>
      </c>
      <c r="AU478" s="38">
        <f>(8.7+2.5)*1000</f>
        <v>11200</v>
      </c>
      <c r="AV478" s="38">
        <f t="shared" ref="AV478" si="107">AU478/(288+71)</f>
        <v>31.197771587743734</v>
      </c>
      <c r="AW478" s="64" t="s">
        <v>512</v>
      </c>
      <c r="BK478" s="38">
        <v>4.16</v>
      </c>
      <c r="BL478" s="38">
        <v>6.3</v>
      </c>
      <c r="BM478" s="38" t="s">
        <v>510</v>
      </c>
      <c r="DS478" s="12"/>
      <c r="DU478" s="15"/>
      <c r="FA478" s="38" t="s">
        <v>513</v>
      </c>
      <c r="FB478" s="38" t="s">
        <v>854</v>
      </c>
      <c r="FC478" s="38">
        <v>26</v>
      </c>
    </row>
    <row r="479" spans="1:159" s="23" customFormat="1" x14ac:dyDescent="0.25">
      <c r="A479" s="23">
        <v>26</v>
      </c>
      <c r="B479" s="23" t="s">
        <v>495</v>
      </c>
      <c r="C479" s="23" t="s">
        <v>496</v>
      </c>
      <c r="D479" s="23">
        <v>2015</v>
      </c>
      <c r="E479" s="23">
        <v>2012</v>
      </c>
      <c r="F479" s="23" t="s">
        <v>357</v>
      </c>
      <c r="G479" s="23" t="s">
        <v>498</v>
      </c>
      <c r="H479" s="23">
        <f>35.22</f>
        <v>35.22</v>
      </c>
      <c r="I479" s="23">
        <f>-77.65</f>
        <v>-77.650000000000006</v>
      </c>
      <c r="J479" s="23">
        <v>22.4</v>
      </c>
      <c r="P479" s="53" t="s">
        <v>179</v>
      </c>
      <c r="Q479" s="53"/>
      <c r="R479" s="53" t="s">
        <v>502</v>
      </c>
      <c r="S479" s="53" t="s">
        <v>1647</v>
      </c>
      <c r="T479" s="53" t="s">
        <v>1647</v>
      </c>
      <c r="X479" s="23" t="s">
        <v>175</v>
      </c>
      <c r="AB479" s="23" t="s">
        <v>1562</v>
      </c>
      <c r="AC479" s="23" t="s">
        <v>500</v>
      </c>
      <c r="AD479" s="153" t="str">
        <f t="shared" si="79"/>
        <v>Pea</v>
      </c>
      <c r="AE479" s="23" t="s">
        <v>167</v>
      </c>
      <c r="AJ479" s="23" t="s">
        <v>499</v>
      </c>
      <c r="AK479" s="23" t="s">
        <v>499</v>
      </c>
      <c r="AL479" s="23" t="s">
        <v>230</v>
      </c>
      <c r="AM479" s="23">
        <v>0</v>
      </c>
      <c r="AN479" s="23">
        <v>0</v>
      </c>
      <c r="AO479" s="23" t="s">
        <v>230</v>
      </c>
      <c r="AP479" s="23" t="s">
        <v>208</v>
      </c>
      <c r="AQ479" s="23">
        <v>4</v>
      </c>
      <c r="AR479" s="23">
        <v>4</v>
      </c>
      <c r="AS479" s="23" t="s">
        <v>404</v>
      </c>
      <c r="AU479" s="23">
        <f>(6.1+1.6)*1000</f>
        <v>7699.9999999999991</v>
      </c>
      <c r="AV479" s="23">
        <f>AU479/(170+36)</f>
        <v>37.378640776699022</v>
      </c>
      <c r="AW479" s="64" t="s">
        <v>511</v>
      </c>
      <c r="BK479" s="23">
        <v>3.83</v>
      </c>
      <c r="BL479" s="23">
        <v>10.109</v>
      </c>
      <c r="BM479" s="23" t="s">
        <v>510</v>
      </c>
      <c r="DS479" s="12"/>
      <c r="DU479" s="15"/>
      <c r="FA479" s="23" t="s">
        <v>513</v>
      </c>
      <c r="FB479" s="23" t="s">
        <v>854</v>
      </c>
      <c r="FC479" s="23">
        <v>26</v>
      </c>
    </row>
    <row r="480" spans="1:159" s="23" customFormat="1" x14ac:dyDescent="0.25">
      <c r="A480" s="23">
        <v>26</v>
      </c>
      <c r="B480" s="23" t="s">
        <v>495</v>
      </c>
      <c r="C480" s="23" t="s">
        <v>496</v>
      </c>
      <c r="D480" s="23">
        <v>2015</v>
      </c>
      <c r="E480" s="23">
        <v>2012</v>
      </c>
      <c r="F480" s="23" t="s">
        <v>357</v>
      </c>
      <c r="G480" s="23" t="s">
        <v>498</v>
      </c>
      <c r="H480" s="23">
        <f>35.22</f>
        <v>35.22</v>
      </c>
      <c r="I480" s="23">
        <f>-77.65</f>
        <v>-77.650000000000006</v>
      </c>
      <c r="J480" s="23">
        <v>22.4</v>
      </c>
      <c r="P480" s="53" t="s">
        <v>179</v>
      </c>
      <c r="Q480" s="53"/>
      <c r="R480" s="53" t="s">
        <v>502</v>
      </c>
      <c r="S480" s="53" t="s">
        <v>1647</v>
      </c>
      <c r="T480" s="53" t="s">
        <v>1647</v>
      </c>
      <c r="X480" s="23" t="s">
        <v>175</v>
      </c>
      <c r="AB480" s="23" t="s">
        <v>1562</v>
      </c>
      <c r="AC480" s="23" t="s">
        <v>501</v>
      </c>
      <c r="AD480" s="153" t="str">
        <f t="shared" si="79"/>
        <v>Clover</v>
      </c>
      <c r="AE480" s="23" t="s">
        <v>167</v>
      </c>
      <c r="AJ480" s="23" t="s">
        <v>499</v>
      </c>
      <c r="AK480" s="23" t="s">
        <v>499</v>
      </c>
      <c r="AL480" s="23" t="s">
        <v>230</v>
      </c>
      <c r="AM480" s="23">
        <v>0</v>
      </c>
      <c r="AN480" s="23">
        <v>0</v>
      </c>
      <c r="AO480" s="23" t="s">
        <v>230</v>
      </c>
      <c r="AP480" s="23" t="s">
        <v>208</v>
      </c>
      <c r="AQ480" s="23">
        <v>4</v>
      </c>
      <c r="AR480" s="23">
        <v>4</v>
      </c>
      <c r="AS480" s="23" t="s">
        <v>404</v>
      </c>
      <c r="AU480" s="23">
        <f>(6.4+1.9)*1000</f>
        <v>8300</v>
      </c>
      <c r="AV480" s="23">
        <f>AU480/(110+27)</f>
        <v>60.583941605839414</v>
      </c>
      <c r="AW480" s="64" t="s">
        <v>511</v>
      </c>
      <c r="BK480" s="23">
        <v>3.83</v>
      </c>
      <c r="BL480" s="23">
        <v>6.032</v>
      </c>
      <c r="BM480" s="23" t="s">
        <v>510</v>
      </c>
      <c r="DS480" s="12"/>
      <c r="DU480" s="15"/>
      <c r="FA480" s="23" t="s">
        <v>513</v>
      </c>
      <c r="FB480" s="23" t="s">
        <v>854</v>
      </c>
      <c r="FC480" s="23">
        <v>26</v>
      </c>
    </row>
    <row r="481" spans="1:159" s="23" customFormat="1" x14ac:dyDescent="0.25">
      <c r="A481" s="23">
        <v>26</v>
      </c>
      <c r="B481" s="23" t="s">
        <v>495</v>
      </c>
      <c r="C481" s="23" t="s">
        <v>496</v>
      </c>
      <c r="D481" s="23">
        <v>2015</v>
      </c>
      <c r="E481" s="23">
        <v>2012</v>
      </c>
      <c r="F481" s="23" t="s">
        <v>357</v>
      </c>
      <c r="G481" s="23" t="s">
        <v>498</v>
      </c>
      <c r="H481" s="23">
        <f t="shared" ref="H481:H520" si="108">35.22</f>
        <v>35.22</v>
      </c>
      <c r="I481" s="23">
        <f t="shared" ref="I481:I520" si="109">-77.65</f>
        <v>-77.650000000000006</v>
      </c>
      <c r="J481" s="23">
        <v>22.4</v>
      </c>
      <c r="P481" s="53" t="s">
        <v>179</v>
      </c>
      <c r="Q481" s="53"/>
      <c r="R481" s="53" t="s">
        <v>502</v>
      </c>
      <c r="S481" s="53" t="s">
        <v>1647</v>
      </c>
      <c r="T481" s="53" t="s">
        <v>1647</v>
      </c>
      <c r="X481" s="23" t="s">
        <v>175</v>
      </c>
      <c r="AB481" s="23" t="s">
        <v>1562</v>
      </c>
      <c r="AC481" s="23" t="s">
        <v>301</v>
      </c>
      <c r="AD481" s="153" t="str">
        <f t="shared" si="79"/>
        <v>Vetch</v>
      </c>
      <c r="AE481" s="23" t="s">
        <v>167</v>
      </c>
      <c r="AJ481" s="23" t="s">
        <v>499</v>
      </c>
      <c r="AK481" s="23" t="s">
        <v>499</v>
      </c>
      <c r="AL481" s="23" t="s">
        <v>230</v>
      </c>
      <c r="AM481" s="23">
        <v>0</v>
      </c>
      <c r="AN481" s="23">
        <v>0</v>
      </c>
      <c r="AO481" s="23" t="s">
        <v>230</v>
      </c>
      <c r="AP481" s="23" t="s">
        <v>208</v>
      </c>
      <c r="AQ481" s="23">
        <v>4</v>
      </c>
      <c r="AR481" s="23">
        <v>4</v>
      </c>
      <c r="AS481" s="23" t="s">
        <v>404</v>
      </c>
      <c r="AU481" s="23">
        <f>(6.5+1.8)*1000</f>
        <v>8300</v>
      </c>
      <c r="AV481" s="23">
        <f>AU481/(175+47)</f>
        <v>37.387387387387385</v>
      </c>
      <c r="AW481" s="64" t="s">
        <v>511</v>
      </c>
      <c r="BK481" s="23">
        <v>3.83</v>
      </c>
      <c r="BL481" s="23">
        <v>8.2330000000000005</v>
      </c>
      <c r="BM481" s="23" t="s">
        <v>510</v>
      </c>
      <c r="DS481" s="12"/>
      <c r="DU481" s="15"/>
      <c r="FA481" s="23" t="s">
        <v>513</v>
      </c>
      <c r="FB481" s="23" t="s">
        <v>854</v>
      </c>
      <c r="FC481" s="23">
        <v>26</v>
      </c>
    </row>
    <row r="482" spans="1:159" s="23" customFormat="1" x14ac:dyDescent="0.25">
      <c r="A482" s="23">
        <v>26</v>
      </c>
      <c r="B482" s="23" t="s">
        <v>495</v>
      </c>
      <c r="C482" s="23" t="s">
        <v>496</v>
      </c>
      <c r="D482" s="23">
        <v>2015</v>
      </c>
      <c r="E482" s="23">
        <v>2012</v>
      </c>
      <c r="F482" s="23" t="s">
        <v>357</v>
      </c>
      <c r="G482" s="23" t="s">
        <v>498</v>
      </c>
      <c r="H482" s="23">
        <f t="shared" si="108"/>
        <v>35.22</v>
      </c>
      <c r="I482" s="23">
        <f t="shared" si="109"/>
        <v>-77.650000000000006</v>
      </c>
      <c r="J482" s="23">
        <v>22.4</v>
      </c>
      <c r="P482" s="53" t="s">
        <v>179</v>
      </c>
      <c r="Q482" s="53"/>
      <c r="R482" s="53" t="s">
        <v>503</v>
      </c>
      <c r="S482" s="53" t="s">
        <v>1647</v>
      </c>
      <c r="T482" s="53" t="s">
        <v>1647</v>
      </c>
      <c r="X482" s="23" t="s">
        <v>175</v>
      </c>
      <c r="AB482" s="23" t="s">
        <v>1562</v>
      </c>
      <c r="AC482" s="23" t="s">
        <v>500</v>
      </c>
      <c r="AD482" s="153" t="str">
        <f t="shared" si="79"/>
        <v>Pea</v>
      </c>
      <c r="AE482" s="23" t="s">
        <v>167</v>
      </c>
      <c r="AJ482" s="23" t="s">
        <v>499</v>
      </c>
      <c r="AK482" s="23" t="s">
        <v>499</v>
      </c>
      <c r="AL482" s="23" t="s">
        <v>230</v>
      </c>
      <c r="AM482" s="23">
        <v>0</v>
      </c>
      <c r="AN482" s="23">
        <v>0</v>
      </c>
      <c r="AO482" s="23" t="s">
        <v>230</v>
      </c>
      <c r="AP482" s="23" t="s">
        <v>208</v>
      </c>
      <c r="AQ482" s="23">
        <v>4</v>
      </c>
      <c r="AR482" s="23">
        <v>4</v>
      </c>
      <c r="AS482" s="23" t="s">
        <v>404</v>
      </c>
      <c r="AU482" s="23">
        <f t="shared" ref="AU482" si="110">(6.1+1.6)*1000</f>
        <v>7699.9999999999991</v>
      </c>
      <c r="AV482" s="23">
        <f t="shared" ref="AV482" si="111">AU482/(170+36)</f>
        <v>37.378640776699022</v>
      </c>
      <c r="AW482" s="64" t="s">
        <v>511</v>
      </c>
      <c r="BK482" s="23">
        <v>2.1880000000000002</v>
      </c>
      <c r="BL482" s="23">
        <v>3.74</v>
      </c>
      <c r="BM482" s="23" t="s">
        <v>510</v>
      </c>
      <c r="DS482" s="12"/>
      <c r="DU482" s="15"/>
      <c r="FA482" s="23" t="s">
        <v>513</v>
      </c>
      <c r="FB482" s="23" t="s">
        <v>854</v>
      </c>
      <c r="FC482" s="23">
        <v>26</v>
      </c>
    </row>
    <row r="483" spans="1:159" s="23" customFormat="1" x14ac:dyDescent="0.25">
      <c r="A483" s="23">
        <v>26</v>
      </c>
      <c r="B483" s="23" t="s">
        <v>495</v>
      </c>
      <c r="C483" s="23" t="s">
        <v>496</v>
      </c>
      <c r="D483" s="23">
        <v>2015</v>
      </c>
      <c r="E483" s="23">
        <v>2012</v>
      </c>
      <c r="F483" s="23" t="s">
        <v>357</v>
      </c>
      <c r="G483" s="23" t="s">
        <v>498</v>
      </c>
      <c r="H483" s="23">
        <f t="shared" si="108"/>
        <v>35.22</v>
      </c>
      <c r="I483" s="23">
        <f t="shared" si="109"/>
        <v>-77.650000000000006</v>
      </c>
      <c r="J483" s="23">
        <v>22.4</v>
      </c>
      <c r="P483" s="53" t="s">
        <v>179</v>
      </c>
      <c r="Q483" s="53"/>
      <c r="R483" s="53" t="s">
        <v>503</v>
      </c>
      <c r="S483" s="53" t="s">
        <v>1647</v>
      </c>
      <c r="T483" s="53" t="s">
        <v>1647</v>
      </c>
      <c r="X483" s="23" t="s">
        <v>175</v>
      </c>
      <c r="AB483" s="23" t="s">
        <v>1562</v>
      </c>
      <c r="AC483" s="23" t="s">
        <v>501</v>
      </c>
      <c r="AD483" s="153" t="str">
        <f t="shared" si="79"/>
        <v>Clover</v>
      </c>
      <c r="AE483" s="23" t="s">
        <v>167</v>
      </c>
      <c r="AJ483" s="23" t="s">
        <v>499</v>
      </c>
      <c r="AK483" s="23" t="s">
        <v>499</v>
      </c>
      <c r="AL483" s="23" t="s">
        <v>230</v>
      </c>
      <c r="AM483" s="23">
        <v>0</v>
      </c>
      <c r="AN483" s="23">
        <v>0</v>
      </c>
      <c r="AO483" s="23" t="s">
        <v>230</v>
      </c>
      <c r="AP483" s="23" t="s">
        <v>208</v>
      </c>
      <c r="AQ483" s="23">
        <v>4</v>
      </c>
      <c r="AR483" s="23">
        <v>4</v>
      </c>
      <c r="AS483" s="23" t="s">
        <v>404</v>
      </c>
      <c r="AU483" s="23">
        <f t="shared" ref="AU483" si="112">(6.4+1.9)*1000</f>
        <v>8300</v>
      </c>
      <c r="AV483" s="23">
        <f t="shared" ref="AV483" si="113">AU483/(110+27)</f>
        <v>60.583941605839414</v>
      </c>
      <c r="AW483" s="64" t="s">
        <v>511</v>
      </c>
      <c r="BK483" s="23">
        <v>2.1880000000000002</v>
      </c>
      <c r="BL483" s="23">
        <v>3.74</v>
      </c>
      <c r="BM483" s="23" t="s">
        <v>510</v>
      </c>
      <c r="DS483" s="12"/>
      <c r="DU483" s="15"/>
      <c r="FA483" s="23" t="s">
        <v>513</v>
      </c>
      <c r="FB483" s="23" t="s">
        <v>854</v>
      </c>
      <c r="FC483" s="23">
        <v>26</v>
      </c>
    </row>
    <row r="484" spans="1:159" s="23" customFormat="1" x14ac:dyDescent="0.25">
      <c r="A484" s="23">
        <v>26</v>
      </c>
      <c r="B484" s="23" t="s">
        <v>495</v>
      </c>
      <c r="C484" s="23" t="s">
        <v>496</v>
      </c>
      <c r="D484" s="23">
        <v>2015</v>
      </c>
      <c r="E484" s="23">
        <v>2012</v>
      </c>
      <c r="F484" s="23" t="s">
        <v>357</v>
      </c>
      <c r="G484" s="23" t="s">
        <v>498</v>
      </c>
      <c r="H484" s="23">
        <f t="shared" si="108"/>
        <v>35.22</v>
      </c>
      <c r="I484" s="23">
        <f t="shared" si="109"/>
        <v>-77.650000000000006</v>
      </c>
      <c r="J484" s="23">
        <v>22.4</v>
      </c>
      <c r="P484" s="53" t="s">
        <v>179</v>
      </c>
      <c r="Q484" s="53"/>
      <c r="R484" s="53" t="s">
        <v>503</v>
      </c>
      <c r="S484" s="53" t="s">
        <v>1647</v>
      </c>
      <c r="T484" s="53" t="s">
        <v>1647</v>
      </c>
      <c r="X484" s="23" t="s">
        <v>175</v>
      </c>
      <c r="AB484" s="23" t="s">
        <v>1562</v>
      </c>
      <c r="AC484" s="23" t="s">
        <v>301</v>
      </c>
      <c r="AD484" s="153" t="str">
        <f t="shared" si="79"/>
        <v>Vetch</v>
      </c>
      <c r="AE484" s="23" t="s">
        <v>167</v>
      </c>
      <c r="AJ484" s="23" t="s">
        <v>499</v>
      </c>
      <c r="AK484" s="23" t="s">
        <v>499</v>
      </c>
      <c r="AL484" s="23" t="s">
        <v>230</v>
      </c>
      <c r="AM484" s="23">
        <v>0</v>
      </c>
      <c r="AN484" s="23">
        <v>0</v>
      </c>
      <c r="AO484" s="23" t="s">
        <v>230</v>
      </c>
      <c r="AP484" s="23" t="s">
        <v>208</v>
      </c>
      <c r="AQ484" s="23">
        <v>4</v>
      </c>
      <c r="AR484" s="23">
        <v>4</v>
      </c>
      <c r="AS484" s="23" t="s">
        <v>404</v>
      </c>
      <c r="AU484" s="23">
        <f t="shared" ref="AU484" si="114">(6.5+1.8)*1000</f>
        <v>8300</v>
      </c>
      <c r="AV484" s="23">
        <f t="shared" ref="AV484" si="115">AU484/(175+47)</f>
        <v>37.387387387387385</v>
      </c>
      <c r="AW484" s="64" t="s">
        <v>511</v>
      </c>
      <c r="BK484" s="23">
        <v>2.1880000000000002</v>
      </c>
      <c r="BL484" s="23">
        <v>3.74</v>
      </c>
      <c r="BM484" s="23" t="s">
        <v>510</v>
      </c>
      <c r="DS484" s="12"/>
      <c r="DU484" s="15"/>
      <c r="FA484" s="23" t="s">
        <v>513</v>
      </c>
      <c r="FB484" s="23" t="s">
        <v>854</v>
      </c>
      <c r="FC484" s="23">
        <v>26</v>
      </c>
    </row>
    <row r="485" spans="1:159" s="23" customFormat="1" x14ac:dyDescent="0.25">
      <c r="A485" s="23">
        <v>26</v>
      </c>
      <c r="B485" s="23" t="s">
        <v>495</v>
      </c>
      <c r="C485" s="23" t="s">
        <v>496</v>
      </c>
      <c r="D485" s="23">
        <v>2015</v>
      </c>
      <c r="E485" s="23">
        <v>2012</v>
      </c>
      <c r="F485" s="23" t="s">
        <v>357</v>
      </c>
      <c r="G485" s="23" t="s">
        <v>498</v>
      </c>
      <c r="H485" s="23">
        <f t="shared" si="108"/>
        <v>35.22</v>
      </c>
      <c r="I485" s="23">
        <f t="shared" si="109"/>
        <v>-77.650000000000006</v>
      </c>
      <c r="J485" s="23">
        <v>22.4</v>
      </c>
      <c r="P485" s="53" t="s">
        <v>179</v>
      </c>
      <c r="Q485" s="53"/>
      <c r="R485" s="53" t="s">
        <v>504</v>
      </c>
      <c r="S485" s="53" t="s">
        <v>1647</v>
      </c>
      <c r="T485" s="53" t="s">
        <v>1647</v>
      </c>
      <c r="X485" s="23" t="s">
        <v>175</v>
      </c>
      <c r="AB485" s="23" t="s">
        <v>1562</v>
      </c>
      <c r="AC485" s="23" t="s">
        <v>500</v>
      </c>
      <c r="AD485" s="153" t="str">
        <f t="shared" si="79"/>
        <v>Pea</v>
      </c>
      <c r="AE485" s="23" t="s">
        <v>167</v>
      </c>
      <c r="AJ485" s="23" t="s">
        <v>499</v>
      </c>
      <c r="AK485" s="23" t="s">
        <v>499</v>
      </c>
      <c r="AL485" s="23" t="s">
        <v>230</v>
      </c>
      <c r="AM485" s="23">
        <v>0</v>
      </c>
      <c r="AN485" s="23">
        <v>0</v>
      </c>
      <c r="AO485" s="23" t="s">
        <v>230</v>
      </c>
      <c r="AP485" s="23" t="s">
        <v>208</v>
      </c>
      <c r="AQ485" s="23">
        <v>4</v>
      </c>
      <c r="AR485" s="23">
        <v>4</v>
      </c>
      <c r="AS485" s="23" t="s">
        <v>404</v>
      </c>
      <c r="AU485" s="23">
        <f t="shared" ref="AU485" si="116">(6.1+1.6)*1000</f>
        <v>7699.9999999999991</v>
      </c>
      <c r="AV485" s="23">
        <f t="shared" ref="AV485" si="117">AU485/(170+36)</f>
        <v>37.378640776699022</v>
      </c>
      <c r="AW485" s="64" t="s">
        <v>511</v>
      </c>
      <c r="BK485" s="23">
        <v>3.157</v>
      </c>
      <c r="BL485" s="23">
        <v>3.17</v>
      </c>
      <c r="BM485" s="23" t="s">
        <v>510</v>
      </c>
      <c r="DS485" s="12"/>
      <c r="DU485" s="15"/>
      <c r="FA485" s="23" t="s">
        <v>513</v>
      </c>
      <c r="FB485" s="23" t="s">
        <v>854</v>
      </c>
      <c r="FC485" s="23">
        <v>26</v>
      </c>
    </row>
    <row r="486" spans="1:159" s="23" customFormat="1" x14ac:dyDescent="0.25">
      <c r="A486" s="23">
        <v>26</v>
      </c>
      <c r="B486" s="23" t="s">
        <v>495</v>
      </c>
      <c r="C486" s="23" t="s">
        <v>496</v>
      </c>
      <c r="D486" s="23">
        <v>2015</v>
      </c>
      <c r="E486" s="23">
        <v>2012</v>
      </c>
      <c r="F486" s="23" t="s">
        <v>357</v>
      </c>
      <c r="G486" s="23" t="s">
        <v>498</v>
      </c>
      <c r="H486" s="23">
        <f t="shared" si="108"/>
        <v>35.22</v>
      </c>
      <c r="I486" s="23">
        <f t="shared" si="109"/>
        <v>-77.650000000000006</v>
      </c>
      <c r="J486" s="23">
        <v>22.4</v>
      </c>
      <c r="P486" s="53" t="s">
        <v>179</v>
      </c>
      <c r="Q486" s="53"/>
      <c r="R486" s="53" t="s">
        <v>504</v>
      </c>
      <c r="S486" s="53" t="s">
        <v>1647</v>
      </c>
      <c r="T486" s="53" t="s">
        <v>1647</v>
      </c>
      <c r="X486" s="23" t="s">
        <v>175</v>
      </c>
      <c r="AB486" s="23" t="s">
        <v>1562</v>
      </c>
      <c r="AC486" s="23" t="s">
        <v>501</v>
      </c>
      <c r="AD486" s="153" t="str">
        <f t="shared" si="79"/>
        <v>Clover</v>
      </c>
      <c r="AE486" s="23" t="s">
        <v>167</v>
      </c>
      <c r="AJ486" s="23" t="s">
        <v>499</v>
      </c>
      <c r="AK486" s="23" t="s">
        <v>499</v>
      </c>
      <c r="AL486" s="23" t="s">
        <v>230</v>
      </c>
      <c r="AM486" s="23">
        <v>0</v>
      </c>
      <c r="AN486" s="23">
        <v>0</v>
      </c>
      <c r="AO486" s="23" t="s">
        <v>230</v>
      </c>
      <c r="AP486" s="23" t="s">
        <v>208</v>
      </c>
      <c r="AQ486" s="23">
        <v>4</v>
      </c>
      <c r="AR486" s="23">
        <v>4</v>
      </c>
      <c r="AS486" s="23" t="s">
        <v>404</v>
      </c>
      <c r="AU486" s="23">
        <f t="shared" ref="AU486" si="118">(6.4+1.9)*1000</f>
        <v>8300</v>
      </c>
      <c r="AV486" s="23">
        <f t="shared" ref="AV486" si="119">AU486/(110+27)</f>
        <v>60.583941605839414</v>
      </c>
      <c r="AW486" s="64" t="s">
        <v>511</v>
      </c>
      <c r="BK486" s="23">
        <v>3.157</v>
      </c>
      <c r="BL486" s="23">
        <v>4.87</v>
      </c>
      <c r="BM486" s="23" t="s">
        <v>510</v>
      </c>
      <c r="DS486" s="12"/>
      <c r="DU486" s="15"/>
      <c r="FA486" s="23" t="s">
        <v>513</v>
      </c>
      <c r="FB486" s="23" t="s">
        <v>854</v>
      </c>
      <c r="FC486" s="23">
        <v>26</v>
      </c>
    </row>
    <row r="487" spans="1:159" s="23" customFormat="1" x14ac:dyDescent="0.25">
      <c r="A487" s="23">
        <v>26</v>
      </c>
      <c r="B487" s="23" t="s">
        <v>495</v>
      </c>
      <c r="C487" s="23" t="s">
        <v>496</v>
      </c>
      <c r="D487" s="23">
        <v>2015</v>
      </c>
      <c r="E487" s="23">
        <v>2012</v>
      </c>
      <c r="F487" s="23" t="s">
        <v>357</v>
      </c>
      <c r="G487" s="23" t="s">
        <v>498</v>
      </c>
      <c r="H487" s="23">
        <f t="shared" si="108"/>
        <v>35.22</v>
      </c>
      <c r="I487" s="23">
        <f t="shared" si="109"/>
        <v>-77.650000000000006</v>
      </c>
      <c r="J487" s="23">
        <v>22.4</v>
      </c>
      <c r="P487" s="53" t="s">
        <v>179</v>
      </c>
      <c r="Q487" s="53"/>
      <c r="R487" s="53" t="s">
        <v>504</v>
      </c>
      <c r="S487" s="53" t="s">
        <v>1647</v>
      </c>
      <c r="T487" s="53" t="s">
        <v>1647</v>
      </c>
      <c r="X487" s="23" t="s">
        <v>175</v>
      </c>
      <c r="AB487" s="23" t="s">
        <v>1562</v>
      </c>
      <c r="AC487" s="23" t="s">
        <v>301</v>
      </c>
      <c r="AD487" s="153" t="str">
        <f t="shared" si="79"/>
        <v>Vetch</v>
      </c>
      <c r="AE487" s="23" t="s">
        <v>167</v>
      </c>
      <c r="AJ487" s="23" t="s">
        <v>499</v>
      </c>
      <c r="AK487" s="23" t="s">
        <v>499</v>
      </c>
      <c r="AL487" s="23" t="s">
        <v>230</v>
      </c>
      <c r="AM487" s="23">
        <v>0</v>
      </c>
      <c r="AN487" s="23">
        <v>0</v>
      </c>
      <c r="AO487" s="23" t="s">
        <v>230</v>
      </c>
      <c r="AP487" s="23" t="s">
        <v>208</v>
      </c>
      <c r="AQ487" s="23">
        <v>4</v>
      </c>
      <c r="AR487" s="23">
        <v>4</v>
      </c>
      <c r="AS487" s="23" t="s">
        <v>404</v>
      </c>
      <c r="AU487" s="23">
        <f t="shared" ref="AU487" si="120">(6.5+1.8)*1000</f>
        <v>8300</v>
      </c>
      <c r="AV487" s="23">
        <f t="shared" ref="AV487" si="121">AU487/(175+47)</f>
        <v>37.387387387387385</v>
      </c>
      <c r="AW487" s="64" t="s">
        <v>511</v>
      </c>
      <c r="BK487" s="23">
        <v>3.157</v>
      </c>
      <c r="BL487" s="23">
        <v>3.17</v>
      </c>
      <c r="BM487" s="23" t="s">
        <v>510</v>
      </c>
      <c r="DS487" s="12"/>
      <c r="DU487" s="15"/>
      <c r="FA487" s="23" t="s">
        <v>513</v>
      </c>
      <c r="FB487" s="23" t="s">
        <v>854</v>
      </c>
      <c r="FC487" s="23">
        <v>26</v>
      </c>
    </row>
    <row r="488" spans="1:159" s="23" customFormat="1" x14ac:dyDescent="0.25">
      <c r="A488" s="23">
        <v>26</v>
      </c>
      <c r="B488" s="23" t="s">
        <v>495</v>
      </c>
      <c r="C488" s="23" t="s">
        <v>496</v>
      </c>
      <c r="D488" s="23">
        <v>2015</v>
      </c>
      <c r="E488" s="23">
        <v>2012</v>
      </c>
      <c r="F488" s="23" t="s">
        <v>357</v>
      </c>
      <c r="G488" s="23" t="s">
        <v>498</v>
      </c>
      <c r="H488" s="23">
        <f t="shared" si="108"/>
        <v>35.22</v>
      </c>
      <c r="I488" s="23">
        <f t="shared" si="109"/>
        <v>-77.650000000000006</v>
      </c>
      <c r="J488" s="23">
        <v>22.4</v>
      </c>
      <c r="P488" s="53" t="s">
        <v>179</v>
      </c>
      <c r="Q488" s="53"/>
      <c r="R488" s="53" t="s">
        <v>505</v>
      </c>
      <c r="S488" s="53" t="s">
        <v>1647</v>
      </c>
      <c r="T488" s="53" t="s">
        <v>1647</v>
      </c>
      <c r="X488" s="23" t="s">
        <v>175</v>
      </c>
      <c r="AB488" s="23" t="s">
        <v>1562</v>
      </c>
      <c r="AC488" s="23" t="s">
        <v>500</v>
      </c>
      <c r="AD488" s="153" t="str">
        <f t="shared" si="79"/>
        <v>Pea</v>
      </c>
      <c r="AE488" s="23" t="s">
        <v>167</v>
      </c>
      <c r="AJ488" s="23" t="s">
        <v>499</v>
      </c>
      <c r="AK488" s="23" t="s">
        <v>499</v>
      </c>
      <c r="AL488" s="23" t="s">
        <v>230</v>
      </c>
      <c r="AM488" s="23">
        <v>0</v>
      </c>
      <c r="AN488" s="23">
        <v>0</v>
      </c>
      <c r="AO488" s="23" t="s">
        <v>230</v>
      </c>
      <c r="AP488" s="23" t="s">
        <v>208</v>
      </c>
      <c r="AQ488" s="23">
        <v>4</v>
      </c>
      <c r="AR488" s="23">
        <v>4</v>
      </c>
      <c r="AS488" s="23" t="s">
        <v>404</v>
      </c>
      <c r="AU488" s="23">
        <f t="shared" ref="AU488" si="122">(6.1+1.6)*1000</f>
        <v>7699.9999999999991</v>
      </c>
      <c r="AV488" s="23">
        <f t="shared" ref="AV488" si="123">AU488/(170+36)</f>
        <v>37.378640776699022</v>
      </c>
      <c r="AW488" s="64" t="s">
        <v>511</v>
      </c>
      <c r="BK488" s="23">
        <v>4.9400000000000004</v>
      </c>
      <c r="BL488" s="23">
        <v>3.5649999999999999</v>
      </c>
      <c r="BM488" s="23" t="s">
        <v>510</v>
      </c>
      <c r="DS488" s="12"/>
      <c r="DU488" s="15"/>
      <c r="FA488" s="23" t="s">
        <v>513</v>
      </c>
      <c r="FB488" s="23" t="s">
        <v>854</v>
      </c>
      <c r="FC488" s="23">
        <v>26</v>
      </c>
    </row>
    <row r="489" spans="1:159" s="23" customFormat="1" x14ac:dyDescent="0.25">
      <c r="A489" s="23">
        <v>26</v>
      </c>
      <c r="B489" s="23" t="s">
        <v>495</v>
      </c>
      <c r="C489" s="23" t="s">
        <v>496</v>
      </c>
      <c r="D489" s="23">
        <v>2015</v>
      </c>
      <c r="E489" s="23">
        <v>2012</v>
      </c>
      <c r="F489" s="23" t="s">
        <v>357</v>
      </c>
      <c r="G489" s="23" t="s">
        <v>498</v>
      </c>
      <c r="H489" s="23">
        <f t="shared" si="108"/>
        <v>35.22</v>
      </c>
      <c r="I489" s="23">
        <f t="shared" si="109"/>
        <v>-77.650000000000006</v>
      </c>
      <c r="J489" s="23">
        <v>22.4</v>
      </c>
      <c r="P489" s="53" t="s">
        <v>179</v>
      </c>
      <c r="Q489" s="53"/>
      <c r="R489" s="53" t="s">
        <v>505</v>
      </c>
      <c r="S489" s="53" t="s">
        <v>1647</v>
      </c>
      <c r="T489" s="53" t="s">
        <v>1647</v>
      </c>
      <c r="X489" s="23" t="s">
        <v>175</v>
      </c>
      <c r="AB489" s="23" t="s">
        <v>1562</v>
      </c>
      <c r="AC489" s="23" t="s">
        <v>501</v>
      </c>
      <c r="AD489" s="153" t="str">
        <f t="shared" si="79"/>
        <v>Clover</v>
      </c>
      <c r="AE489" s="23" t="s">
        <v>167</v>
      </c>
      <c r="AJ489" s="23" t="s">
        <v>499</v>
      </c>
      <c r="AK489" s="23" t="s">
        <v>499</v>
      </c>
      <c r="AL489" s="23" t="s">
        <v>230</v>
      </c>
      <c r="AM489" s="23">
        <v>0</v>
      </c>
      <c r="AN489" s="23">
        <v>0</v>
      </c>
      <c r="AO489" s="23" t="s">
        <v>230</v>
      </c>
      <c r="AP489" s="23" t="s">
        <v>208</v>
      </c>
      <c r="AQ489" s="23">
        <v>4</v>
      </c>
      <c r="AR489" s="23">
        <v>4</v>
      </c>
      <c r="AS489" s="23" t="s">
        <v>404</v>
      </c>
      <c r="AU489" s="23">
        <f t="shared" ref="AU489" si="124">(6.4+1.9)*1000</f>
        <v>8300</v>
      </c>
      <c r="AV489" s="23">
        <f t="shared" ref="AV489" si="125">AU489/(110+27)</f>
        <v>60.583941605839414</v>
      </c>
      <c r="AW489" s="64" t="s">
        <v>511</v>
      </c>
      <c r="BK489" s="23">
        <v>4.9400000000000004</v>
      </c>
      <c r="BL489" s="23">
        <v>3.5649999999999999</v>
      </c>
      <c r="BM489" s="23" t="s">
        <v>510</v>
      </c>
      <c r="DS489" s="12"/>
      <c r="DU489" s="15"/>
      <c r="FA489" s="23" t="s">
        <v>513</v>
      </c>
      <c r="FB489" s="23" t="s">
        <v>854</v>
      </c>
      <c r="FC489" s="23">
        <v>26</v>
      </c>
    </row>
    <row r="490" spans="1:159" s="23" customFormat="1" x14ac:dyDescent="0.25">
      <c r="A490" s="23">
        <v>26</v>
      </c>
      <c r="B490" s="23" t="s">
        <v>495</v>
      </c>
      <c r="C490" s="23" t="s">
        <v>496</v>
      </c>
      <c r="D490" s="23">
        <v>2015</v>
      </c>
      <c r="E490" s="23">
        <v>2012</v>
      </c>
      <c r="F490" s="23" t="s">
        <v>357</v>
      </c>
      <c r="G490" s="23" t="s">
        <v>498</v>
      </c>
      <c r="H490" s="23">
        <f t="shared" si="108"/>
        <v>35.22</v>
      </c>
      <c r="I490" s="23">
        <f t="shared" si="109"/>
        <v>-77.650000000000006</v>
      </c>
      <c r="J490" s="23">
        <v>22.4</v>
      </c>
      <c r="P490" s="53" t="s">
        <v>179</v>
      </c>
      <c r="Q490" s="53"/>
      <c r="R490" s="53" t="s">
        <v>505</v>
      </c>
      <c r="S490" s="53" t="s">
        <v>1647</v>
      </c>
      <c r="T490" s="53" t="s">
        <v>1647</v>
      </c>
      <c r="X490" s="23" t="s">
        <v>175</v>
      </c>
      <c r="AB490" s="23" t="s">
        <v>1562</v>
      </c>
      <c r="AC490" s="23" t="s">
        <v>301</v>
      </c>
      <c r="AD490" s="153" t="str">
        <f t="shared" si="79"/>
        <v>Vetch</v>
      </c>
      <c r="AE490" s="23" t="s">
        <v>167</v>
      </c>
      <c r="AJ490" s="23" t="s">
        <v>499</v>
      </c>
      <c r="AK490" s="23" t="s">
        <v>499</v>
      </c>
      <c r="AL490" s="23" t="s">
        <v>230</v>
      </c>
      <c r="AM490" s="23">
        <v>0</v>
      </c>
      <c r="AN490" s="23">
        <v>0</v>
      </c>
      <c r="AO490" s="23" t="s">
        <v>230</v>
      </c>
      <c r="AP490" s="23" t="s">
        <v>208</v>
      </c>
      <c r="AQ490" s="23">
        <v>4</v>
      </c>
      <c r="AR490" s="23">
        <v>4</v>
      </c>
      <c r="AS490" s="23" t="s">
        <v>404</v>
      </c>
      <c r="AU490" s="23">
        <f t="shared" ref="AU490" si="126">(6.5+1.8)*1000</f>
        <v>8300</v>
      </c>
      <c r="AV490" s="23">
        <f t="shared" ref="AV490" si="127">AU490/(175+47)</f>
        <v>37.387387387387385</v>
      </c>
      <c r="AW490" s="64" t="s">
        <v>511</v>
      </c>
      <c r="BK490" s="23">
        <v>4.9400000000000004</v>
      </c>
      <c r="BL490" s="23">
        <v>3.5649999999999999</v>
      </c>
      <c r="BM490" s="23" t="s">
        <v>510</v>
      </c>
      <c r="DS490" s="12"/>
      <c r="DU490" s="15"/>
      <c r="FA490" s="23" t="s">
        <v>513</v>
      </c>
      <c r="FB490" s="23" t="s">
        <v>854</v>
      </c>
      <c r="FC490" s="23">
        <v>26</v>
      </c>
    </row>
    <row r="491" spans="1:159" s="23" customFormat="1" x14ac:dyDescent="0.25">
      <c r="A491" s="23">
        <v>26</v>
      </c>
      <c r="B491" s="23" t="s">
        <v>495</v>
      </c>
      <c r="C491" s="23" t="s">
        <v>496</v>
      </c>
      <c r="D491" s="23">
        <v>2015</v>
      </c>
      <c r="E491" s="23">
        <v>2012</v>
      </c>
      <c r="F491" s="23" t="s">
        <v>357</v>
      </c>
      <c r="G491" s="23" t="s">
        <v>498</v>
      </c>
      <c r="H491" s="23">
        <f t="shared" si="108"/>
        <v>35.22</v>
      </c>
      <c r="I491" s="23">
        <f t="shared" si="109"/>
        <v>-77.650000000000006</v>
      </c>
      <c r="J491" s="23">
        <v>22.4</v>
      </c>
      <c r="P491" s="53" t="s">
        <v>179</v>
      </c>
      <c r="Q491" s="53"/>
      <c r="R491" s="53" t="s">
        <v>506</v>
      </c>
      <c r="S491" s="53" t="s">
        <v>1647</v>
      </c>
      <c r="T491" s="53" t="s">
        <v>1647</v>
      </c>
      <c r="X491" s="23" t="s">
        <v>175</v>
      </c>
      <c r="AB491" s="23" t="s">
        <v>1562</v>
      </c>
      <c r="AC491" s="23" t="s">
        <v>500</v>
      </c>
      <c r="AD491" s="153" t="str">
        <f t="shared" si="79"/>
        <v>Pea</v>
      </c>
      <c r="AE491" s="23" t="s">
        <v>167</v>
      </c>
      <c r="AJ491" s="23" t="s">
        <v>499</v>
      </c>
      <c r="AK491" s="23" t="s">
        <v>499</v>
      </c>
      <c r="AL491" s="23" t="s">
        <v>230</v>
      </c>
      <c r="AM491" s="23">
        <v>0</v>
      </c>
      <c r="AN491" s="23">
        <v>0</v>
      </c>
      <c r="AO491" s="23" t="s">
        <v>230</v>
      </c>
      <c r="AP491" s="23" t="s">
        <v>208</v>
      </c>
      <c r="AQ491" s="23">
        <v>4</v>
      </c>
      <c r="AR491" s="23">
        <v>4</v>
      </c>
      <c r="AS491" s="23" t="s">
        <v>404</v>
      </c>
      <c r="AU491" s="23">
        <f t="shared" ref="AU491" si="128">(6.1+1.6)*1000</f>
        <v>7699.9999999999991</v>
      </c>
      <c r="AV491" s="23">
        <f t="shared" ref="AV491" si="129">AU491/(170+36)</f>
        <v>37.378640776699022</v>
      </c>
      <c r="AW491" s="64" t="s">
        <v>511</v>
      </c>
      <c r="BK491" s="23">
        <v>5.42</v>
      </c>
      <c r="BL491" s="23">
        <v>5.4</v>
      </c>
      <c r="BM491" s="23" t="s">
        <v>510</v>
      </c>
      <c r="DS491" s="12"/>
      <c r="DU491" s="15"/>
      <c r="FA491" s="23" t="s">
        <v>513</v>
      </c>
      <c r="FB491" s="23" t="s">
        <v>854</v>
      </c>
      <c r="FC491" s="23">
        <v>26</v>
      </c>
    </row>
    <row r="492" spans="1:159" s="23" customFormat="1" x14ac:dyDescent="0.25">
      <c r="A492" s="23">
        <v>26</v>
      </c>
      <c r="B492" s="23" t="s">
        <v>495</v>
      </c>
      <c r="C492" s="23" t="s">
        <v>496</v>
      </c>
      <c r="D492" s="23">
        <v>2015</v>
      </c>
      <c r="E492" s="23">
        <v>2012</v>
      </c>
      <c r="F492" s="23" t="s">
        <v>357</v>
      </c>
      <c r="G492" s="23" t="s">
        <v>498</v>
      </c>
      <c r="H492" s="23">
        <f t="shared" si="108"/>
        <v>35.22</v>
      </c>
      <c r="I492" s="23">
        <f t="shared" si="109"/>
        <v>-77.650000000000006</v>
      </c>
      <c r="J492" s="23">
        <v>22.4</v>
      </c>
      <c r="P492" s="53" t="s">
        <v>179</v>
      </c>
      <c r="Q492" s="53"/>
      <c r="R492" s="53" t="s">
        <v>506</v>
      </c>
      <c r="S492" s="53" t="s">
        <v>1647</v>
      </c>
      <c r="T492" s="53" t="s">
        <v>1647</v>
      </c>
      <c r="X492" s="23" t="s">
        <v>175</v>
      </c>
      <c r="AB492" s="23" t="s">
        <v>1562</v>
      </c>
      <c r="AC492" s="23" t="s">
        <v>501</v>
      </c>
      <c r="AD492" s="153" t="str">
        <f t="shared" si="79"/>
        <v>Clover</v>
      </c>
      <c r="AE492" s="23" t="s">
        <v>167</v>
      </c>
      <c r="AJ492" s="23" t="s">
        <v>499</v>
      </c>
      <c r="AK492" s="23" t="s">
        <v>499</v>
      </c>
      <c r="AL492" s="23" t="s">
        <v>230</v>
      </c>
      <c r="AM492" s="23">
        <v>0</v>
      </c>
      <c r="AN492" s="23">
        <v>0</v>
      </c>
      <c r="AO492" s="23" t="s">
        <v>230</v>
      </c>
      <c r="AP492" s="23" t="s">
        <v>208</v>
      </c>
      <c r="AQ492" s="23">
        <v>4</v>
      </c>
      <c r="AR492" s="23">
        <v>4</v>
      </c>
      <c r="AS492" s="23" t="s">
        <v>404</v>
      </c>
      <c r="AU492" s="23">
        <f t="shared" ref="AU492" si="130">(6.4+1.9)*1000</f>
        <v>8300</v>
      </c>
      <c r="AV492" s="23">
        <f t="shared" ref="AV492" si="131">AU492/(110+27)</f>
        <v>60.583941605839414</v>
      </c>
      <c r="AW492" s="64" t="s">
        <v>511</v>
      </c>
      <c r="BK492" s="23">
        <v>5.42</v>
      </c>
      <c r="BL492" s="23">
        <v>5.4</v>
      </c>
      <c r="BM492" s="23" t="s">
        <v>510</v>
      </c>
      <c r="DS492" s="12"/>
      <c r="DU492" s="15"/>
      <c r="FA492" s="23" t="s">
        <v>513</v>
      </c>
      <c r="FB492" s="23" t="s">
        <v>854</v>
      </c>
      <c r="FC492" s="23">
        <v>26</v>
      </c>
    </row>
    <row r="493" spans="1:159" s="23" customFormat="1" x14ac:dyDescent="0.25">
      <c r="A493" s="23">
        <v>26</v>
      </c>
      <c r="B493" s="23" t="s">
        <v>495</v>
      </c>
      <c r="C493" s="23" t="s">
        <v>496</v>
      </c>
      <c r="D493" s="23">
        <v>2015</v>
      </c>
      <c r="E493" s="23">
        <v>2012</v>
      </c>
      <c r="F493" s="23" t="s">
        <v>357</v>
      </c>
      <c r="G493" s="23" t="s">
        <v>498</v>
      </c>
      <c r="H493" s="23">
        <f t="shared" si="108"/>
        <v>35.22</v>
      </c>
      <c r="I493" s="23">
        <f t="shared" si="109"/>
        <v>-77.650000000000006</v>
      </c>
      <c r="J493" s="23">
        <v>22.4</v>
      </c>
      <c r="P493" s="53" t="s">
        <v>179</v>
      </c>
      <c r="Q493" s="53"/>
      <c r="R493" s="53" t="s">
        <v>506</v>
      </c>
      <c r="S493" s="53" t="s">
        <v>1647</v>
      </c>
      <c r="T493" s="53" t="s">
        <v>1647</v>
      </c>
      <c r="X493" s="23" t="s">
        <v>175</v>
      </c>
      <c r="AB493" s="23" t="s">
        <v>1562</v>
      </c>
      <c r="AC493" s="23" t="s">
        <v>301</v>
      </c>
      <c r="AD493" s="153" t="str">
        <f t="shared" si="79"/>
        <v>Vetch</v>
      </c>
      <c r="AE493" s="23" t="s">
        <v>167</v>
      </c>
      <c r="AJ493" s="23" t="s">
        <v>499</v>
      </c>
      <c r="AK493" s="23" t="s">
        <v>499</v>
      </c>
      <c r="AL493" s="23" t="s">
        <v>230</v>
      </c>
      <c r="AM493" s="23">
        <v>0</v>
      </c>
      <c r="AN493" s="23">
        <v>0</v>
      </c>
      <c r="AO493" s="23" t="s">
        <v>230</v>
      </c>
      <c r="AP493" s="23" t="s">
        <v>208</v>
      </c>
      <c r="AQ493" s="23">
        <v>4</v>
      </c>
      <c r="AR493" s="23">
        <v>4</v>
      </c>
      <c r="AS493" s="23" t="s">
        <v>404</v>
      </c>
      <c r="AU493" s="23">
        <f t="shared" ref="AU493" si="132">(6.5+1.8)*1000</f>
        <v>8300</v>
      </c>
      <c r="AV493" s="23">
        <f t="shared" ref="AV493" si="133">AU493/(175+47)</f>
        <v>37.387387387387385</v>
      </c>
      <c r="AW493" s="64" t="s">
        <v>511</v>
      </c>
      <c r="BK493" s="23">
        <v>5.42</v>
      </c>
      <c r="BL493" s="23">
        <v>5.4</v>
      </c>
      <c r="BM493" s="23" t="s">
        <v>510</v>
      </c>
      <c r="DS493" s="12"/>
      <c r="DU493" s="15"/>
      <c r="FA493" s="23" t="s">
        <v>513</v>
      </c>
      <c r="FB493" s="23" t="s">
        <v>854</v>
      </c>
      <c r="FC493" s="23">
        <v>26</v>
      </c>
    </row>
    <row r="494" spans="1:159" s="23" customFormat="1" x14ac:dyDescent="0.25">
      <c r="A494" s="23">
        <v>26</v>
      </c>
      <c r="B494" s="23" t="s">
        <v>495</v>
      </c>
      <c r="C494" s="23" t="s">
        <v>496</v>
      </c>
      <c r="D494" s="23">
        <v>2015</v>
      </c>
      <c r="E494" s="23">
        <v>2012</v>
      </c>
      <c r="F494" s="23" t="s">
        <v>357</v>
      </c>
      <c r="G494" s="23" t="s">
        <v>498</v>
      </c>
      <c r="H494" s="23">
        <f t="shared" si="108"/>
        <v>35.22</v>
      </c>
      <c r="I494" s="23">
        <f t="shared" si="109"/>
        <v>-77.650000000000006</v>
      </c>
      <c r="J494" s="23">
        <v>22.4</v>
      </c>
      <c r="P494" s="53" t="s">
        <v>179</v>
      </c>
      <c r="Q494" s="53"/>
      <c r="R494" s="53" t="s">
        <v>507</v>
      </c>
      <c r="S494" s="53" t="s">
        <v>1647</v>
      </c>
      <c r="T494" s="53" t="s">
        <v>1647</v>
      </c>
      <c r="X494" s="23" t="s">
        <v>175</v>
      </c>
      <c r="AB494" s="23" t="s">
        <v>1562</v>
      </c>
      <c r="AC494" s="23" t="s">
        <v>500</v>
      </c>
      <c r="AD494" s="153" t="str">
        <f t="shared" si="79"/>
        <v>Pea</v>
      </c>
      <c r="AE494" s="23" t="s">
        <v>167</v>
      </c>
      <c r="AJ494" s="23" t="s">
        <v>499</v>
      </c>
      <c r="AK494" s="23" t="s">
        <v>499</v>
      </c>
      <c r="AL494" s="23" t="s">
        <v>230</v>
      </c>
      <c r="AM494" s="23">
        <v>0</v>
      </c>
      <c r="AN494" s="23">
        <v>0</v>
      </c>
      <c r="AO494" s="23" t="s">
        <v>230</v>
      </c>
      <c r="AP494" s="23" t="s">
        <v>208</v>
      </c>
      <c r="AQ494" s="23">
        <v>4</v>
      </c>
      <c r="AR494" s="23">
        <v>4</v>
      </c>
      <c r="AS494" s="23" t="s">
        <v>404</v>
      </c>
      <c r="AU494" s="23">
        <f t="shared" ref="AU494" si="134">(6.1+1.6)*1000</f>
        <v>7699.9999999999991</v>
      </c>
      <c r="AV494" s="23">
        <f t="shared" ref="AV494" si="135">AU494/(170+36)</f>
        <v>37.378640776699022</v>
      </c>
      <c r="AW494" s="64" t="s">
        <v>511</v>
      </c>
      <c r="BK494" s="23">
        <v>1.9770000000000001</v>
      </c>
      <c r="BL494" s="23">
        <v>3.69</v>
      </c>
      <c r="BM494" s="23" t="s">
        <v>510</v>
      </c>
      <c r="DS494" s="12"/>
      <c r="DU494" s="15"/>
      <c r="FA494" s="23" t="s">
        <v>513</v>
      </c>
      <c r="FB494" s="23" t="s">
        <v>854</v>
      </c>
      <c r="FC494" s="23">
        <v>26</v>
      </c>
    </row>
    <row r="495" spans="1:159" s="23" customFormat="1" x14ac:dyDescent="0.25">
      <c r="A495" s="23">
        <v>26</v>
      </c>
      <c r="B495" s="23" t="s">
        <v>495</v>
      </c>
      <c r="C495" s="23" t="s">
        <v>496</v>
      </c>
      <c r="D495" s="23">
        <v>2015</v>
      </c>
      <c r="E495" s="23">
        <v>2012</v>
      </c>
      <c r="F495" s="23" t="s">
        <v>357</v>
      </c>
      <c r="G495" s="23" t="s">
        <v>498</v>
      </c>
      <c r="H495" s="23">
        <f t="shared" si="108"/>
        <v>35.22</v>
      </c>
      <c r="I495" s="23">
        <f t="shared" si="109"/>
        <v>-77.650000000000006</v>
      </c>
      <c r="J495" s="23">
        <v>22.4</v>
      </c>
      <c r="P495" s="53" t="s">
        <v>179</v>
      </c>
      <c r="Q495" s="53"/>
      <c r="R495" s="53" t="s">
        <v>507</v>
      </c>
      <c r="S495" s="53" t="s">
        <v>1647</v>
      </c>
      <c r="T495" s="53" t="s">
        <v>1647</v>
      </c>
      <c r="X495" s="23" t="s">
        <v>175</v>
      </c>
      <c r="AB495" s="23" t="s">
        <v>1562</v>
      </c>
      <c r="AC495" s="23" t="s">
        <v>501</v>
      </c>
      <c r="AD495" s="153" t="str">
        <f t="shared" si="79"/>
        <v>Clover</v>
      </c>
      <c r="AE495" s="23" t="s">
        <v>167</v>
      </c>
      <c r="AJ495" s="23" t="s">
        <v>499</v>
      </c>
      <c r="AK495" s="23" t="s">
        <v>499</v>
      </c>
      <c r="AL495" s="23" t="s">
        <v>230</v>
      </c>
      <c r="AM495" s="23">
        <v>0</v>
      </c>
      <c r="AN495" s="23">
        <v>0</v>
      </c>
      <c r="AO495" s="23" t="s">
        <v>230</v>
      </c>
      <c r="AP495" s="23" t="s">
        <v>208</v>
      </c>
      <c r="AQ495" s="23">
        <v>4</v>
      </c>
      <c r="AR495" s="23">
        <v>4</v>
      </c>
      <c r="AS495" s="23" t="s">
        <v>404</v>
      </c>
      <c r="AU495" s="23">
        <f t="shared" ref="AU495" si="136">(6.4+1.9)*1000</f>
        <v>8300</v>
      </c>
      <c r="AV495" s="23">
        <f t="shared" ref="AV495" si="137">AU495/(110+27)</f>
        <v>60.583941605839414</v>
      </c>
      <c r="AW495" s="64" t="s">
        <v>511</v>
      </c>
      <c r="BK495" s="23">
        <v>1.9770000000000001</v>
      </c>
      <c r="BL495" s="23">
        <v>3.69</v>
      </c>
      <c r="BM495" s="23" t="s">
        <v>510</v>
      </c>
      <c r="DS495" s="12"/>
      <c r="DU495" s="15"/>
      <c r="FA495" s="23" t="s">
        <v>513</v>
      </c>
      <c r="FB495" s="23" t="s">
        <v>854</v>
      </c>
      <c r="FC495" s="23">
        <v>26</v>
      </c>
    </row>
    <row r="496" spans="1:159" s="23" customFormat="1" x14ac:dyDescent="0.25">
      <c r="A496" s="23">
        <v>26</v>
      </c>
      <c r="B496" s="23" t="s">
        <v>495</v>
      </c>
      <c r="C496" s="23" t="s">
        <v>496</v>
      </c>
      <c r="D496" s="23">
        <v>2015</v>
      </c>
      <c r="E496" s="23">
        <v>2012</v>
      </c>
      <c r="F496" s="23" t="s">
        <v>357</v>
      </c>
      <c r="G496" s="23" t="s">
        <v>498</v>
      </c>
      <c r="H496" s="23">
        <f t="shared" si="108"/>
        <v>35.22</v>
      </c>
      <c r="I496" s="23">
        <f t="shared" si="109"/>
        <v>-77.650000000000006</v>
      </c>
      <c r="J496" s="23">
        <v>22.4</v>
      </c>
      <c r="P496" s="53" t="s">
        <v>179</v>
      </c>
      <c r="Q496" s="53"/>
      <c r="R496" s="53" t="s">
        <v>507</v>
      </c>
      <c r="S496" s="53" t="s">
        <v>1647</v>
      </c>
      <c r="T496" s="53" t="s">
        <v>1647</v>
      </c>
      <c r="X496" s="23" t="s">
        <v>175</v>
      </c>
      <c r="AB496" s="23" t="s">
        <v>1562</v>
      </c>
      <c r="AC496" s="23" t="s">
        <v>301</v>
      </c>
      <c r="AD496" s="153" t="str">
        <f t="shared" si="79"/>
        <v>Vetch</v>
      </c>
      <c r="AE496" s="23" t="s">
        <v>167</v>
      </c>
      <c r="AJ496" s="23" t="s">
        <v>499</v>
      </c>
      <c r="AK496" s="23" t="s">
        <v>499</v>
      </c>
      <c r="AL496" s="23" t="s">
        <v>230</v>
      </c>
      <c r="AM496" s="23">
        <v>0</v>
      </c>
      <c r="AN496" s="23">
        <v>0</v>
      </c>
      <c r="AO496" s="23" t="s">
        <v>230</v>
      </c>
      <c r="AP496" s="23" t="s">
        <v>208</v>
      </c>
      <c r="AQ496" s="23">
        <v>4</v>
      </c>
      <c r="AR496" s="23">
        <v>4</v>
      </c>
      <c r="AS496" s="23" t="s">
        <v>404</v>
      </c>
      <c r="AU496" s="23">
        <f t="shared" ref="AU496" si="138">(6.5+1.8)*1000</f>
        <v>8300</v>
      </c>
      <c r="AV496" s="23">
        <f t="shared" ref="AV496" si="139">AU496/(175+47)</f>
        <v>37.387387387387385</v>
      </c>
      <c r="AW496" s="64" t="s">
        <v>511</v>
      </c>
      <c r="BK496" s="23">
        <v>1.9770000000000001</v>
      </c>
      <c r="BL496" s="23">
        <v>3.69</v>
      </c>
      <c r="BM496" s="23" t="s">
        <v>510</v>
      </c>
      <c r="DS496" s="12"/>
      <c r="DU496" s="15"/>
      <c r="FA496" s="23" t="s">
        <v>513</v>
      </c>
      <c r="FB496" s="23" t="s">
        <v>854</v>
      </c>
      <c r="FC496" s="23">
        <v>26</v>
      </c>
    </row>
    <row r="497" spans="1:159" s="23" customFormat="1" x14ac:dyDescent="0.25">
      <c r="A497" s="23">
        <v>26</v>
      </c>
      <c r="B497" s="23" t="s">
        <v>495</v>
      </c>
      <c r="C497" s="23" t="s">
        <v>496</v>
      </c>
      <c r="D497" s="23">
        <v>2015</v>
      </c>
      <c r="E497" s="23">
        <v>2012</v>
      </c>
      <c r="F497" s="23" t="s">
        <v>357</v>
      </c>
      <c r="G497" s="23" t="s">
        <v>498</v>
      </c>
      <c r="H497" s="23">
        <f t="shared" si="108"/>
        <v>35.22</v>
      </c>
      <c r="I497" s="23">
        <f t="shared" si="109"/>
        <v>-77.650000000000006</v>
      </c>
      <c r="J497" s="23">
        <v>22.4</v>
      </c>
      <c r="P497" s="53" t="s">
        <v>179</v>
      </c>
      <c r="Q497" s="53"/>
      <c r="R497" s="53" t="s">
        <v>508</v>
      </c>
      <c r="S497" s="53" t="s">
        <v>1647</v>
      </c>
      <c r="T497" s="53" t="s">
        <v>1647</v>
      </c>
      <c r="X497" s="23" t="s">
        <v>175</v>
      </c>
      <c r="AB497" s="23" t="s">
        <v>1562</v>
      </c>
      <c r="AC497" s="23" t="s">
        <v>500</v>
      </c>
      <c r="AD497" s="153" t="str">
        <f t="shared" si="79"/>
        <v>Pea</v>
      </c>
      <c r="AE497" s="23" t="s">
        <v>167</v>
      </c>
      <c r="AJ497" s="23" t="s">
        <v>499</v>
      </c>
      <c r="AK497" s="23" t="s">
        <v>499</v>
      </c>
      <c r="AL497" s="23" t="s">
        <v>230</v>
      </c>
      <c r="AM497" s="23">
        <v>0</v>
      </c>
      <c r="AN497" s="23">
        <v>0</v>
      </c>
      <c r="AO497" s="23" t="s">
        <v>230</v>
      </c>
      <c r="AP497" s="23" t="s">
        <v>208</v>
      </c>
      <c r="AQ497" s="23">
        <v>4</v>
      </c>
      <c r="AR497" s="23">
        <v>4</v>
      </c>
      <c r="AS497" s="23" t="s">
        <v>404</v>
      </c>
      <c r="AU497" s="23">
        <f t="shared" ref="AU497" si="140">(6.1+1.6)*1000</f>
        <v>7699.9999999999991</v>
      </c>
      <c r="AV497" s="23">
        <f t="shared" ref="AV497" si="141">AU497/(170+36)</f>
        <v>37.378640776699022</v>
      </c>
      <c r="AW497" s="64" t="s">
        <v>511</v>
      </c>
      <c r="BK497" s="23">
        <v>4.3230000000000004</v>
      </c>
      <c r="BL497" s="23">
        <v>5.14</v>
      </c>
      <c r="BM497" s="23" t="s">
        <v>510</v>
      </c>
      <c r="DS497" s="12"/>
      <c r="DU497" s="15"/>
      <c r="FA497" s="23" t="s">
        <v>513</v>
      </c>
      <c r="FB497" s="23" t="s">
        <v>854</v>
      </c>
      <c r="FC497" s="23">
        <v>26</v>
      </c>
    </row>
    <row r="498" spans="1:159" s="23" customFormat="1" x14ac:dyDescent="0.25">
      <c r="A498" s="23">
        <v>26</v>
      </c>
      <c r="B498" s="23" t="s">
        <v>495</v>
      </c>
      <c r="C498" s="23" t="s">
        <v>496</v>
      </c>
      <c r="D498" s="23">
        <v>2015</v>
      </c>
      <c r="E498" s="23">
        <v>2012</v>
      </c>
      <c r="F498" s="23" t="s">
        <v>357</v>
      </c>
      <c r="G498" s="23" t="s">
        <v>498</v>
      </c>
      <c r="H498" s="23">
        <f t="shared" si="108"/>
        <v>35.22</v>
      </c>
      <c r="I498" s="23">
        <f t="shared" si="109"/>
        <v>-77.650000000000006</v>
      </c>
      <c r="J498" s="23">
        <v>22.4</v>
      </c>
      <c r="P498" s="53" t="s">
        <v>179</v>
      </c>
      <c r="Q498" s="53"/>
      <c r="R498" s="53" t="s">
        <v>508</v>
      </c>
      <c r="S498" s="53" t="s">
        <v>1647</v>
      </c>
      <c r="T498" s="53" t="s">
        <v>1647</v>
      </c>
      <c r="X498" s="23" t="s">
        <v>175</v>
      </c>
      <c r="AB498" s="23" t="s">
        <v>1562</v>
      </c>
      <c r="AC498" s="23" t="s">
        <v>501</v>
      </c>
      <c r="AD498" s="153" t="str">
        <f t="shared" si="79"/>
        <v>Clover</v>
      </c>
      <c r="AE498" s="23" t="s">
        <v>167</v>
      </c>
      <c r="AJ498" s="23" t="s">
        <v>499</v>
      </c>
      <c r="AK498" s="23" t="s">
        <v>499</v>
      </c>
      <c r="AL498" s="23" t="s">
        <v>230</v>
      </c>
      <c r="AM498" s="23">
        <v>0</v>
      </c>
      <c r="AN498" s="23">
        <v>0</v>
      </c>
      <c r="AO498" s="23" t="s">
        <v>230</v>
      </c>
      <c r="AP498" s="23" t="s">
        <v>208</v>
      </c>
      <c r="AQ498" s="23">
        <v>4</v>
      </c>
      <c r="AR498" s="23">
        <v>4</v>
      </c>
      <c r="AS498" s="23" t="s">
        <v>404</v>
      </c>
      <c r="AU498" s="23">
        <f t="shared" ref="AU498" si="142">(6.4+1.9)*1000</f>
        <v>8300</v>
      </c>
      <c r="AV498" s="23">
        <f t="shared" ref="AV498" si="143">AU498/(110+27)</f>
        <v>60.583941605839414</v>
      </c>
      <c r="AW498" s="64" t="s">
        <v>511</v>
      </c>
      <c r="BK498" s="23">
        <v>4.3230000000000004</v>
      </c>
      <c r="BL498" s="23">
        <v>4.32</v>
      </c>
      <c r="BM498" s="23" t="s">
        <v>510</v>
      </c>
      <c r="DS498" s="12"/>
      <c r="DU498" s="15"/>
      <c r="FA498" s="23" t="s">
        <v>513</v>
      </c>
      <c r="FB498" s="23" t="s">
        <v>854</v>
      </c>
      <c r="FC498" s="23">
        <v>26</v>
      </c>
    </row>
    <row r="499" spans="1:159" s="23" customFormat="1" x14ac:dyDescent="0.25">
      <c r="A499" s="23">
        <v>26</v>
      </c>
      <c r="B499" s="23" t="s">
        <v>495</v>
      </c>
      <c r="C499" s="23" t="s">
        <v>496</v>
      </c>
      <c r="D499" s="23">
        <v>2015</v>
      </c>
      <c r="E499" s="23">
        <v>2012</v>
      </c>
      <c r="F499" s="23" t="s">
        <v>357</v>
      </c>
      <c r="G499" s="23" t="s">
        <v>498</v>
      </c>
      <c r="H499" s="23">
        <f t="shared" si="108"/>
        <v>35.22</v>
      </c>
      <c r="I499" s="23">
        <f t="shared" si="109"/>
        <v>-77.650000000000006</v>
      </c>
      <c r="J499" s="23">
        <v>22.4</v>
      </c>
      <c r="P499" s="53" t="s">
        <v>179</v>
      </c>
      <c r="Q499" s="53"/>
      <c r="R499" s="53" t="s">
        <v>508</v>
      </c>
      <c r="S499" s="53" t="s">
        <v>1647</v>
      </c>
      <c r="T499" s="53" t="s">
        <v>1647</v>
      </c>
      <c r="X499" s="23" t="s">
        <v>175</v>
      </c>
      <c r="AB499" s="23" t="s">
        <v>1562</v>
      </c>
      <c r="AC499" s="23" t="s">
        <v>301</v>
      </c>
      <c r="AD499" s="153" t="str">
        <f t="shared" si="79"/>
        <v>Vetch</v>
      </c>
      <c r="AE499" s="23" t="s">
        <v>167</v>
      </c>
      <c r="AJ499" s="23" t="s">
        <v>499</v>
      </c>
      <c r="AK499" s="23" t="s">
        <v>499</v>
      </c>
      <c r="AL499" s="23" t="s">
        <v>230</v>
      </c>
      <c r="AM499" s="23">
        <v>0</v>
      </c>
      <c r="AN499" s="23">
        <v>0</v>
      </c>
      <c r="AO499" s="23" t="s">
        <v>230</v>
      </c>
      <c r="AP499" s="23" t="s">
        <v>208</v>
      </c>
      <c r="AQ499" s="23">
        <v>4</v>
      </c>
      <c r="AR499" s="23">
        <v>4</v>
      </c>
      <c r="AS499" s="23" t="s">
        <v>404</v>
      </c>
      <c r="AU499" s="23">
        <f t="shared" ref="AU499" si="144">(6.5+1.8)*1000</f>
        <v>8300</v>
      </c>
      <c r="AV499" s="23">
        <f t="shared" ref="AV499" si="145">AU499/(175+47)</f>
        <v>37.387387387387385</v>
      </c>
      <c r="AW499" s="64" t="s">
        <v>511</v>
      </c>
      <c r="BK499" s="23">
        <v>4.3230000000000004</v>
      </c>
      <c r="BL499" s="23">
        <v>5.14</v>
      </c>
      <c r="BM499" s="23" t="s">
        <v>510</v>
      </c>
      <c r="DS499" s="12"/>
      <c r="DU499" s="15"/>
      <c r="FA499" s="23" t="s">
        <v>513</v>
      </c>
      <c r="FB499" s="23" t="s">
        <v>854</v>
      </c>
      <c r="FC499" s="23">
        <v>26</v>
      </c>
    </row>
    <row r="500" spans="1:159" s="23" customFormat="1" x14ac:dyDescent="0.25">
      <c r="A500" s="23">
        <v>26</v>
      </c>
      <c r="B500" s="23" t="s">
        <v>495</v>
      </c>
      <c r="C500" s="23" t="s">
        <v>496</v>
      </c>
      <c r="D500" s="23">
        <v>2015</v>
      </c>
      <c r="E500" s="23">
        <v>2012</v>
      </c>
      <c r="F500" s="23" t="s">
        <v>357</v>
      </c>
      <c r="G500" s="23" t="s">
        <v>498</v>
      </c>
      <c r="H500" s="23">
        <f t="shared" si="108"/>
        <v>35.22</v>
      </c>
      <c r="I500" s="23">
        <f t="shared" si="109"/>
        <v>-77.650000000000006</v>
      </c>
      <c r="J500" s="23">
        <v>22.4</v>
      </c>
      <c r="P500" s="53" t="s">
        <v>179</v>
      </c>
      <c r="Q500" s="53"/>
      <c r="R500" s="53" t="s">
        <v>502</v>
      </c>
      <c r="S500" s="53" t="s">
        <v>1647</v>
      </c>
      <c r="T500" s="53" t="s">
        <v>1647</v>
      </c>
      <c r="X500" s="23" t="s">
        <v>175</v>
      </c>
      <c r="AB500" s="23" t="s">
        <v>1562</v>
      </c>
      <c r="AC500" s="23" t="s">
        <v>500</v>
      </c>
      <c r="AD500" s="153" t="str">
        <f t="shared" si="79"/>
        <v>Pea</v>
      </c>
      <c r="AE500" s="23" t="s">
        <v>167</v>
      </c>
      <c r="AJ500" s="23" t="s">
        <v>509</v>
      </c>
      <c r="AK500" s="23" t="s">
        <v>509</v>
      </c>
      <c r="AL500" s="23" t="s">
        <v>230</v>
      </c>
      <c r="AM500" s="23">
        <v>0</v>
      </c>
      <c r="AN500" s="23">
        <v>0</v>
      </c>
      <c r="AO500" s="23" t="s">
        <v>230</v>
      </c>
      <c r="AP500" s="23" t="s">
        <v>208</v>
      </c>
      <c r="AQ500" s="23">
        <v>4</v>
      </c>
      <c r="AR500" s="23">
        <v>4</v>
      </c>
      <c r="AS500" s="23" t="s">
        <v>404</v>
      </c>
      <c r="AU500" s="23">
        <f t="shared" ref="AU500" si="146">(6.1+1.6)*1000</f>
        <v>7699.9999999999991</v>
      </c>
      <c r="AV500" s="23">
        <f t="shared" ref="AV500" si="147">AU500/(170+36)</f>
        <v>37.378640776699022</v>
      </c>
      <c r="AW500" s="64" t="s">
        <v>512</v>
      </c>
      <c r="BK500" s="23">
        <v>4.133</v>
      </c>
      <c r="BL500" s="23">
        <v>6.9059999999999997</v>
      </c>
      <c r="BM500" s="23" t="s">
        <v>510</v>
      </c>
      <c r="DS500" s="12"/>
      <c r="DU500" s="15"/>
      <c r="FA500" s="23" t="s">
        <v>513</v>
      </c>
      <c r="FB500" s="23" t="s">
        <v>854</v>
      </c>
      <c r="FC500" s="23">
        <v>26</v>
      </c>
    </row>
    <row r="501" spans="1:159" s="23" customFormat="1" x14ac:dyDescent="0.25">
      <c r="A501" s="23">
        <v>26</v>
      </c>
      <c r="B501" s="23" t="s">
        <v>495</v>
      </c>
      <c r="C501" s="23" t="s">
        <v>496</v>
      </c>
      <c r="D501" s="23">
        <v>2015</v>
      </c>
      <c r="E501" s="23">
        <v>2012</v>
      </c>
      <c r="F501" s="23" t="s">
        <v>357</v>
      </c>
      <c r="G501" s="23" t="s">
        <v>498</v>
      </c>
      <c r="H501" s="23">
        <f t="shared" si="108"/>
        <v>35.22</v>
      </c>
      <c r="I501" s="23">
        <f t="shared" si="109"/>
        <v>-77.650000000000006</v>
      </c>
      <c r="J501" s="23">
        <v>22.4</v>
      </c>
      <c r="P501" s="53" t="s">
        <v>179</v>
      </c>
      <c r="Q501" s="53"/>
      <c r="R501" s="53" t="s">
        <v>502</v>
      </c>
      <c r="S501" s="53" t="s">
        <v>1647</v>
      </c>
      <c r="T501" s="53" t="s">
        <v>1647</v>
      </c>
      <c r="X501" s="23" t="s">
        <v>175</v>
      </c>
      <c r="AB501" s="23" t="s">
        <v>1562</v>
      </c>
      <c r="AC501" s="23" t="s">
        <v>501</v>
      </c>
      <c r="AD501" s="153" t="str">
        <f t="shared" si="79"/>
        <v>Clover</v>
      </c>
      <c r="AE501" s="23" t="s">
        <v>167</v>
      </c>
      <c r="AJ501" s="23" t="s">
        <v>509</v>
      </c>
      <c r="AK501" s="23" t="s">
        <v>509</v>
      </c>
      <c r="AL501" s="23" t="s">
        <v>230</v>
      </c>
      <c r="AM501" s="23">
        <v>0</v>
      </c>
      <c r="AN501" s="23">
        <v>0</v>
      </c>
      <c r="AO501" s="23" t="s">
        <v>230</v>
      </c>
      <c r="AP501" s="23" t="s">
        <v>208</v>
      </c>
      <c r="AQ501" s="23">
        <v>4</v>
      </c>
      <c r="AR501" s="23">
        <v>4</v>
      </c>
      <c r="AS501" s="23" t="s">
        <v>404</v>
      </c>
      <c r="AU501" s="23">
        <f t="shared" ref="AU501" si="148">(6.4+1.9)*1000</f>
        <v>8300</v>
      </c>
      <c r="AV501" s="23">
        <f t="shared" ref="AV501" si="149">AU501/(110+27)</f>
        <v>60.583941605839414</v>
      </c>
      <c r="AW501" s="64" t="s">
        <v>512</v>
      </c>
      <c r="BK501" s="23">
        <v>4.133</v>
      </c>
      <c r="BL501" s="23">
        <v>6.9059999999999997</v>
      </c>
      <c r="BM501" s="23" t="s">
        <v>510</v>
      </c>
      <c r="DS501" s="12"/>
      <c r="DU501" s="15"/>
      <c r="FA501" s="23" t="s">
        <v>513</v>
      </c>
      <c r="FB501" s="23" t="s">
        <v>854</v>
      </c>
      <c r="FC501" s="23">
        <v>26</v>
      </c>
    </row>
    <row r="502" spans="1:159" s="23" customFormat="1" x14ac:dyDescent="0.25">
      <c r="A502" s="23">
        <v>26</v>
      </c>
      <c r="B502" s="23" t="s">
        <v>495</v>
      </c>
      <c r="C502" s="23" t="s">
        <v>496</v>
      </c>
      <c r="D502" s="23">
        <v>2015</v>
      </c>
      <c r="E502" s="23">
        <v>2012</v>
      </c>
      <c r="F502" s="23" t="s">
        <v>357</v>
      </c>
      <c r="G502" s="23" t="s">
        <v>498</v>
      </c>
      <c r="H502" s="23">
        <f t="shared" si="108"/>
        <v>35.22</v>
      </c>
      <c r="I502" s="23">
        <f t="shared" si="109"/>
        <v>-77.650000000000006</v>
      </c>
      <c r="J502" s="23">
        <v>22.4</v>
      </c>
      <c r="P502" s="53" t="s">
        <v>179</v>
      </c>
      <c r="Q502" s="53"/>
      <c r="R502" s="53" t="s">
        <v>502</v>
      </c>
      <c r="S502" s="53" t="s">
        <v>1647</v>
      </c>
      <c r="T502" s="53" t="s">
        <v>1647</v>
      </c>
      <c r="X502" s="23" t="s">
        <v>175</v>
      </c>
      <c r="AB502" s="23" t="s">
        <v>1562</v>
      </c>
      <c r="AC502" s="23" t="s">
        <v>301</v>
      </c>
      <c r="AD502" s="153" t="str">
        <f t="shared" si="79"/>
        <v>Vetch</v>
      </c>
      <c r="AE502" s="23" t="s">
        <v>167</v>
      </c>
      <c r="AJ502" s="23" t="s">
        <v>509</v>
      </c>
      <c r="AK502" s="23" t="s">
        <v>509</v>
      </c>
      <c r="AL502" s="23" t="s">
        <v>230</v>
      </c>
      <c r="AM502" s="23">
        <v>0</v>
      </c>
      <c r="AN502" s="23">
        <v>0</v>
      </c>
      <c r="AO502" s="23" t="s">
        <v>230</v>
      </c>
      <c r="AP502" s="23" t="s">
        <v>208</v>
      </c>
      <c r="AQ502" s="23">
        <v>4</v>
      </c>
      <c r="AR502" s="23">
        <v>4</v>
      </c>
      <c r="AS502" s="23" t="s">
        <v>404</v>
      </c>
      <c r="AU502" s="23">
        <f t="shared" ref="AU502" si="150">(6.5+1.8)*1000</f>
        <v>8300</v>
      </c>
      <c r="AV502" s="23">
        <f t="shared" ref="AV502" si="151">AU502/(175+47)</f>
        <v>37.387387387387385</v>
      </c>
      <c r="AW502" s="64" t="s">
        <v>512</v>
      </c>
      <c r="BK502" s="23">
        <v>4.133</v>
      </c>
      <c r="BL502" s="23">
        <v>6.9059999999999997</v>
      </c>
      <c r="BM502" s="23" t="s">
        <v>510</v>
      </c>
      <c r="DS502" s="12"/>
      <c r="DU502" s="15"/>
      <c r="FA502" s="23" t="s">
        <v>513</v>
      </c>
      <c r="FB502" s="23" t="s">
        <v>854</v>
      </c>
      <c r="FC502" s="23">
        <v>26</v>
      </c>
    </row>
    <row r="503" spans="1:159" s="23" customFormat="1" x14ac:dyDescent="0.25">
      <c r="A503" s="23">
        <v>26</v>
      </c>
      <c r="B503" s="23" t="s">
        <v>495</v>
      </c>
      <c r="C503" s="23" t="s">
        <v>496</v>
      </c>
      <c r="D503" s="23">
        <v>2015</v>
      </c>
      <c r="E503" s="23">
        <v>2012</v>
      </c>
      <c r="F503" s="23" t="s">
        <v>357</v>
      </c>
      <c r="G503" s="23" t="s">
        <v>498</v>
      </c>
      <c r="H503" s="23">
        <f t="shared" si="108"/>
        <v>35.22</v>
      </c>
      <c r="I503" s="23">
        <f t="shared" si="109"/>
        <v>-77.650000000000006</v>
      </c>
      <c r="J503" s="23">
        <v>22.4</v>
      </c>
      <c r="P503" s="53" t="s">
        <v>179</v>
      </c>
      <c r="Q503" s="53"/>
      <c r="R503" s="53" t="s">
        <v>503</v>
      </c>
      <c r="S503" s="53" t="s">
        <v>1647</v>
      </c>
      <c r="T503" s="53" t="s">
        <v>1647</v>
      </c>
      <c r="X503" s="23" t="s">
        <v>175</v>
      </c>
      <c r="AB503" s="23" t="s">
        <v>1562</v>
      </c>
      <c r="AC503" s="23" t="s">
        <v>500</v>
      </c>
      <c r="AD503" s="153" t="str">
        <f t="shared" si="79"/>
        <v>Pea</v>
      </c>
      <c r="AE503" s="23" t="s">
        <v>167</v>
      </c>
      <c r="AJ503" s="23" t="s">
        <v>509</v>
      </c>
      <c r="AK503" s="23" t="s">
        <v>509</v>
      </c>
      <c r="AL503" s="23" t="s">
        <v>230</v>
      </c>
      <c r="AM503" s="23">
        <v>0</v>
      </c>
      <c r="AN503" s="23">
        <v>0</v>
      </c>
      <c r="AO503" s="23" t="s">
        <v>230</v>
      </c>
      <c r="AP503" s="23" t="s">
        <v>208</v>
      </c>
      <c r="AQ503" s="23">
        <v>4</v>
      </c>
      <c r="AR503" s="23">
        <v>4</v>
      </c>
      <c r="AS503" s="23" t="s">
        <v>404</v>
      </c>
      <c r="AU503" s="23">
        <f t="shared" ref="AU503" si="152">(6.1+1.6)*1000</f>
        <v>7699.9999999999991</v>
      </c>
      <c r="AV503" s="23">
        <f t="shared" ref="AV503" si="153">AU503/(170+36)</f>
        <v>37.378640776699022</v>
      </c>
      <c r="AW503" s="64" t="s">
        <v>512</v>
      </c>
      <c r="BK503" s="23">
        <v>2.2469999999999999</v>
      </c>
      <c r="BL503" s="23">
        <v>3.8780000000000001</v>
      </c>
      <c r="BM503" s="23" t="s">
        <v>510</v>
      </c>
      <c r="DS503" s="12"/>
      <c r="DU503" s="15"/>
      <c r="FA503" s="23" t="s">
        <v>513</v>
      </c>
      <c r="FB503" s="23" t="s">
        <v>854</v>
      </c>
      <c r="FC503" s="23">
        <v>26</v>
      </c>
    </row>
    <row r="504" spans="1:159" s="23" customFormat="1" x14ac:dyDescent="0.25">
      <c r="A504" s="23">
        <v>26</v>
      </c>
      <c r="B504" s="23" t="s">
        <v>495</v>
      </c>
      <c r="C504" s="23" t="s">
        <v>496</v>
      </c>
      <c r="D504" s="23">
        <v>2015</v>
      </c>
      <c r="E504" s="23">
        <v>2012</v>
      </c>
      <c r="F504" s="23" t="s">
        <v>357</v>
      </c>
      <c r="G504" s="23" t="s">
        <v>498</v>
      </c>
      <c r="H504" s="23">
        <f t="shared" si="108"/>
        <v>35.22</v>
      </c>
      <c r="I504" s="23">
        <f t="shared" si="109"/>
        <v>-77.650000000000006</v>
      </c>
      <c r="J504" s="23">
        <v>22.4</v>
      </c>
      <c r="P504" s="53" t="s">
        <v>179</v>
      </c>
      <c r="Q504" s="53"/>
      <c r="R504" s="53" t="s">
        <v>503</v>
      </c>
      <c r="S504" s="53" t="s">
        <v>1647</v>
      </c>
      <c r="T504" s="53" t="s">
        <v>1647</v>
      </c>
      <c r="X504" s="23" t="s">
        <v>175</v>
      </c>
      <c r="AB504" s="23" t="s">
        <v>1562</v>
      </c>
      <c r="AC504" s="23" t="s">
        <v>501</v>
      </c>
      <c r="AD504" s="153" t="str">
        <f t="shared" si="79"/>
        <v>Clover</v>
      </c>
      <c r="AE504" s="23" t="s">
        <v>167</v>
      </c>
      <c r="AJ504" s="23" t="s">
        <v>509</v>
      </c>
      <c r="AK504" s="23" t="s">
        <v>509</v>
      </c>
      <c r="AL504" s="23" t="s">
        <v>230</v>
      </c>
      <c r="AM504" s="23">
        <v>0</v>
      </c>
      <c r="AN504" s="23">
        <v>0</v>
      </c>
      <c r="AO504" s="23" t="s">
        <v>230</v>
      </c>
      <c r="AP504" s="23" t="s">
        <v>208</v>
      </c>
      <c r="AQ504" s="23">
        <v>4</v>
      </c>
      <c r="AR504" s="23">
        <v>4</v>
      </c>
      <c r="AS504" s="23" t="s">
        <v>404</v>
      </c>
      <c r="AU504" s="23">
        <f t="shared" ref="AU504" si="154">(6.4+1.9)*1000</f>
        <v>8300</v>
      </c>
      <c r="AV504" s="23">
        <f t="shared" ref="AV504" si="155">AU504/(110+27)</f>
        <v>60.583941605839414</v>
      </c>
      <c r="AW504" s="64" t="s">
        <v>512</v>
      </c>
      <c r="BK504" s="23">
        <v>2.2469999999999999</v>
      </c>
      <c r="BL504" s="23">
        <v>3.8780000000000001</v>
      </c>
      <c r="BM504" s="23" t="s">
        <v>510</v>
      </c>
      <c r="DS504" s="12"/>
      <c r="DU504" s="15"/>
      <c r="FA504" s="23" t="s">
        <v>513</v>
      </c>
      <c r="FB504" s="23" t="s">
        <v>854</v>
      </c>
      <c r="FC504" s="23">
        <v>26</v>
      </c>
    </row>
    <row r="505" spans="1:159" s="23" customFormat="1" x14ac:dyDescent="0.25">
      <c r="A505" s="23">
        <v>26</v>
      </c>
      <c r="B505" s="23" t="s">
        <v>495</v>
      </c>
      <c r="C505" s="23" t="s">
        <v>496</v>
      </c>
      <c r="D505" s="23">
        <v>2015</v>
      </c>
      <c r="E505" s="23">
        <v>2012</v>
      </c>
      <c r="F505" s="23" t="s">
        <v>357</v>
      </c>
      <c r="G505" s="23" t="s">
        <v>498</v>
      </c>
      <c r="H505" s="23">
        <f t="shared" si="108"/>
        <v>35.22</v>
      </c>
      <c r="I505" s="23">
        <f t="shared" si="109"/>
        <v>-77.650000000000006</v>
      </c>
      <c r="J505" s="23">
        <v>22.4</v>
      </c>
      <c r="P505" s="53" t="s">
        <v>179</v>
      </c>
      <c r="Q505" s="53"/>
      <c r="R505" s="53" t="s">
        <v>503</v>
      </c>
      <c r="S505" s="53" t="s">
        <v>1647</v>
      </c>
      <c r="T505" s="53" t="s">
        <v>1647</v>
      </c>
      <c r="X505" s="23" t="s">
        <v>175</v>
      </c>
      <c r="AB505" s="23" t="s">
        <v>1562</v>
      </c>
      <c r="AC505" s="23" t="s">
        <v>301</v>
      </c>
      <c r="AD505" s="153" t="str">
        <f t="shared" si="79"/>
        <v>Vetch</v>
      </c>
      <c r="AE505" s="23" t="s">
        <v>167</v>
      </c>
      <c r="AJ505" s="23" t="s">
        <v>509</v>
      </c>
      <c r="AK505" s="23" t="s">
        <v>509</v>
      </c>
      <c r="AL505" s="23" t="s">
        <v>230</v>
      </c>
      <c r="AM505" s="23">
        <v>0</v>
      </c>
      <c r="AN505" s="23">
        <v>0</v>
      </c>
      <c r="AO505" s="23" t="s">
        <v>230</v>
      </c>
      <c r="AP505" s="23" t="s">
        <v>208</v>
      </c>
      <c r="AQ505" s="23">
        <v>4</v>
      </c>
      <c r="AR505" s="23">
        <v>4</v>
      </c>
      <c r="AS505" s="23" t="s">
        <v>404</v>
      </c>
      <c r="AU505" s="23">
        <f t="shared" ref="AU505" si="156">(6.5+1.8)*1000</f>
        <v>8300</v>
      </c>
      <c r="AV505" s="23">
        <f t="shared" ref="AV505" si="157">AU505/(175+47)</f>
        <v>37.387387387387385</v>
      </c>
      <c r="AW505" s="64" t="s">
        <v>512</v>
      </c>
      <c r="BK505" s="23">
        <v>2.2469999999999999</v>
      </c>
      <c r="BL505" s="23">
        <v>3.8780000000000001</v>
      </c>
      <c r="BM505" s="23" t="s">
        <v>510</v>
      </c>
      <c r="DS505" s="12"/>
      <c r="DU505" s="15"/>
      <c r="FA505" s="23" t="s">
        <v>513</v>
      </c>
      <c r="FB505" s="23" t="s">
        <v>854</v>
      </c>
      <c r="FC505" s="23">
        <v>26</v>
      </c>
    </row>
    <row r="506" spans="1:159" s="23" customFormat="1" x14ac:dyDescent="0.25">
      <c r="A506" s="23">
        <v>26</v>
      </c>
      <c r="B506" s="23" t="s">
        <v>495</v>
      </c>
      <c r="C506" s="23" t="s">
        <v>496</v>
      </c>
      <c r="D506" s="23">
        <v>2015</v>
      </c>
      <c r="E506" s="23">
        <v>2012</v>
      </c>
      <c r="F506" s="23" t="s">
        <v>357</v>
      </c>
      <c r="G506" s="23" t="s">
        <v>498</v>
      </c>
      <c r="H506" s="23">
        <f t="shared" si="108"/>
        <v>35.22</v>
      </c>
      <c r="I506" s="23">
        <f t="shared" si="109"/>
        <v>-77.650000000000006</v>
      </c>
      <c r="J506" s="23">
        <v>22.4</v>
      </c>
      <c r="P506" s="53" t="s">
        <v>179</v>
      </c>
      <c r="Q506" s="53"/>
      <c r="R506" s="53" t="s">
        <v>504</v>
      </c>
      <c r="S506" s="53" t="s">
        <v>1647</v>
      </c>
      <c r="T506" s="53" t="s">
        <v>1647</v>
      </c>
      <c r="X506" s="23" t="s">
        <v>175</v>
      </c>
      <c r="AB506" s="23" t="s">
        <v>1562</v>
      </c>
      <c r="AC506" s="23" t="s">
        <v>500</v>
      </c>
      <c r="AD506" s="153" t="str">
        <f t="shared" si="79"/>
        <v>Pea</v>
      </c>
      <c r="AE506" s="23" t="s">
        <v>167</v>
      </c>
      <c r="AJ506" s="23" t="s">
        <v>509</v>
      </c>
      <c r="AK506" s="23" t="s">
        <v>509</v>
      </c>
      <c r="AL506" s="23" t="s">
        <v>230</v>
      </c>
      <c r="AM506" s="23">
        <v>0</v>
      </c>
      <c r="AN506" s="23">
        <v>0</v>
      </c>
      <c r="AO506" s="23" t="s">
        <v>230</v>
      </c>
      <c r="AP506" s="23" t="s">
        <v>208</v>
      </c>
      <c r="AQ506" s="23">
        <v>4</v>
      </c>
      <c r="AR506" s="23">
        <v>4</v>
      </c>
      <c r="AS506" s="23" t="s">
        <v>404</v>
      </c>
      <c r="AU506" s="23">
        <f t="shared" ref="AU506" si="158">(6.1+1.6)*1000</f>
        <v>7699.9999999999991</v>
      </c>
      <c r="AV506" s="23">
        <f t="shared" ref="AV506" si="159">AU506/(170+36)</f>
        <v>37.378640776699022</v>
      </c>
      <c r="AW506" s="64" t="s">
        <v>512</v>
      </c>
      <c r="BK506" s="23">
        <v>2.7269999999999999</v>
      </c>
      <c r="BL506" s="23">
        <v>3.8690000000000002</v>
      </c>
      <c r="BM506" s="23" t="s">
        <v>510</v>
      </c>
      <c r="DS506" s="12"/>
      <c r="DU506" s="15"/>
      <c r="FA506" s="23" t="s">
        <v>513</v>
      </c>
      <c r="FB506" s="23" t="s">
        <v>854</v>
      </c>
      <c r="FC506" s="23">
        <v>26</v>
      </c>
    </row>
    <row r="507" spans="1:159" s="23" customFormat="1" x14ac:dyDescent="0.25">
      <c r="A507" s="23">
        <v>26</v>
      </c>
      <c r="B507" s="23" t="s">
        <v>495</v>
      </c>
      <c r="C507" s="23" t="s">
        <v>496</v>
      </c>
      <c r="D507" s="23">
        <v>2015</v>
      </c>
      <c r="E507" s="23">
        <v>2012</v>
      </c>
      <c r="F507" s="23" t="s">
        <v>357</v>
      </c>
      <c r="G507" s="23" t="s">
        <v>498</v>
      </c>
      <c r="H507" s="23">
        <f t="shared" si="108"/>
        <v>35.22</v>
      </c>
      <c r="I507" s="23">
        <f t="shared" si="109"/>
        <v>-77.650000000000006</v>
      </c>
      <c r="J507" s="23">
        <v>22.4</v>
      </c>
      <c r="P507" s="53" t="s">
        <v>179</v>
      </c>
      <c r="Q507" s="53"/>
      <c r="R507" s="53" t="s">
        <v>504</v>
      </c>
      <c r="S507" s="53" t="s">
        <v>1647</v>
      </c>
      <c r="T507" s="53" t="s">
        <v>1647</v>
      </c>
      <c r="X507" s="23" t="s">
        <v>175</v>
      </c>
      <c r="AB507" s="23" t="s">
        <v>1562</v>
      </c>
      <c r="AC507" s="23" t="s">
        <v>501</v>
      </c>
      <c r="AD507" s="153" t="str">
        <f t="shared" si="79"/>
        <v>Clover</v>
      </c>
      <c r="AE507" s="23" t="s">
        <v>167</v>
      </c>
      <c r="AJ507" s="23" t="s">
        <v>509</v>
      </c>
      <c r="AK507" s="23" t="s">
        <v>509</v>
      </c>
      <c r="AL507" s="23" t="s">
        <v>230</v>
      </c>
      <c r="AM507" s="23">
        <v>0</v>
      </c>
      <c r="AN507" s="23">
        <v>0</v>
      </c>
      <c r="AO507" s="23" t="s">
        <v>230</v>
      </c>
      <c r="AP507" s="23" t="s">
        <v>208</v>
      </c>
      <c r="AQ507" s="23">
        <v>4</v>
      </c>
      <c r="AR507" s="23">
        <v>4</v>
      </c>
      <c r="AS507" s="23" t="s">
        <v>404</v>
      </c>
      <c r="AU507" s="23">
        <f t="shared" ref="AU507" si="160">(6.4+1.9)*1000</f>
        <v>8300</v>
      </c>
      <c r="AV507" s="23">
        <f t="shared" ref="AV507" si="161">AU507/(110+27)</f>
        <v>60.583941605839414</v>
      </c>
      <c r="AW507" s="64" t="s">
        <v>512</v>
      </c>
      <c r="BK507" s="23">
        <v>2.7269999999999999</v>
      </c>
      <c r="BL507" s="23">
        <v>3.8690000000000002</v>
      </c>
      <c r="BM507" s="23" t="s">
        <v>510</v>
      </c>
      <c r="DS507" s="12"/>
      <c r="DU507" s="15"/>
      <c r="FA507" s="23" t="s">
        <v>513</v>
      </c>
      <c r="FB507" s="23" t="s">
        <v>854</v>
      </c>
      <c r="FC507" s="23">
        <v>26</v>
      </c>
    </row>
    <row r="508" spans="1:159" s="23" customFormat="1" x14ac:dyDescent="0.25">
      <c r="A508" s="23">
        <v>26</v>
      </c>
      <c r="B508" s="23" t="s">
        <v>495</v>
      </c>
      <c r="C508" s="23" t="s">
        <v>496</v>
      </c>
      <c r="D508" s="23">
        <v>2015</v>
      </c>
      <c r="E508" s="23">
        <v>2012</v>
      </c>
      <c r="F508" s="23" t="s">
        <v>357</v>
      </c>
      <c r="G508" s="23" t="s">
        <v>498</v>
      </c>
      <c r="H508" s="23">
        <f t="shared" si="108"/>
        <v>35.22</v>
      </c>
      <c r="I508" s="23">
        <f t="shared" si="109"/>
        <v>-77.650000000000006</v>
      </c>
      <c r="J508" s="23">
        <v>22.4</v>
      </c>
      <c r="P508" s="53" t="s">
        <v>179</v>
      </c>
      <c r="Q508" s="53"/>
      <c r="R508" s="53" t="s">
        <v>504</v>
      </c>
      <c r="S508" s="53" t="s">
        <v>1647</v>
      </c>
      <c r="T508" s="53" t="s">
        <v>1647</v>
      </c>
      <c r="X508" s="23" t="s">
        <v>175</v>
      </c>
      <c r="AB508" s="23" t="s">
        <v>1562</v>
      </c>
      <c r="AC508" s="23" t="s">
        <v>301</v>
      </c>
      <c r="AD508" s="153" t="str">
        <f t="shared" si="79"/>
        <v>Vetch</v>
      </c>
      <c r="AE508" s="23" t="s">
        <v>167</v>
      </c>
      <c r="AJ508" s="23" t="s">
        <v>509</v>
      </c>
      <c r="AK508" s="23" t="s">
        <v>509</v>
      </c>
      <c r="AL508" s="23" t="s">
        <v>230</v>
      </c>
      <c r="AM508" s="23">
        <v>0</v>
      </c>
      <c r="AN508" s="23">
        <v>0</v>
      </c>
      <c r="AO508" s="23" t="s">
        <v>230</v>
      </c>
      <c r="AP508" s="23" t="s">
        <v>208</v>
      </c>
      <c r="AQ508" s="23">
        <v>4</v>
      </c>
      <c r="AR508" s="23">
        <v>4</v>
      </c>
      <c r="AS508" s="23" t="s">
        <v>404</v>
      </c>
      <c r="AU508" s="23">
        <f t="shared" ref="AU508" si="162">(6.5+1.8)*1000</f>
        <v>8300</v>
      </c>
      <c r="AV508" s="23">
        <f t="shared" ref="AV508" si="163">AU508/(175+47)</f>
        <v>37.387387387387385</v>
      </c>
      <c r="AW508" s="64" t="s">
        <v>512</v>
      </c>
      <c r="BK508" s="23">
        <v>2.7269999999999999</v>
      </c>
      <c r="BL508" s="23">
        <v>3.8690000000000002</v>
      </c>
      <c r="BM508" s="23" t="s">
        <v>510</v>
      </c>
      <c r="DS508" s="12"/>
      <c r="DU508" s="15"/>
      <c r="FA508" s="23" t="s">
        <v>513</v>
      </c>
      <c r="FB508" s="23" t="s">
        <v>854</v>
      </c>
      <c r="FC508" s="23">
        <v>26</v>
      </c>
    </row>
    <row r="509" spans="1:159" s="23" customFormat="1" x14ac:dyDescent="0.25">
      <c r="A509" s="23">
        <v>26</v>
      </c>
      <c r="B509" s="23" t="s">
        <v>495</v>
      </c>
      <c r="C509" s="23" t="s">
        <v>496</v>
      </c>
      <c r="D509" s="23">
        <v>2015</v>
      </c>
      <c r="E509" s="23">
        <v>2012</v>
      </c>
      <c r="F509" s="23" t="s">
        <v>357</v>
      </c>
      <c r="G509" s="23" t="s">
        <v>498</v>
      </c>
      <c r="H509" s="23">
        <f t="shared" si="108"/>
        <v>35.22</v>
      </c>
      <c r="I509" s="23">
        <f t="shared" si="109"/>
        <v>-77.650000000000006</v>
      </c>
      <c r="J509" s="23">
        <v>22.4</v>
      </c>
      <c r="P509" s="53" t="s">
        <v>179</v>
      </c>
      <c r="Q509" s="53"/>
      <c r="R509" s="53" t="s">
        <v>505</v>
      </c>
      <c r="S509" s="53" t="s">
        <v>1647</v>
      </c>
      <c r="T509" s="53" t="s">
        <v>1647</v>
      </c>
      <c r="X509" s="23" t="s">
        <v>175</v>
      </c>
      <c r="AB509" s="23" t="s">
        <v>1562</v>
      </c>
      <c r="AC509" s="23" t="s">
        <v>500</v>
      </c>
      <c r="AD509" s="153" t="str">
        <f t="shared" si="79"/>
        <v>Pea</v>
      </c>
      <c r="AE509" s="23" t="s">
        <v>167</v>
      </c>
      <c r="AJ509" s="23" t="s">
        <v>509</v>
      </c>
      <c r="AK509" s="23" t="s">
        <v>509</v>
      </c>
      <c r="AL509" s="23" t="s">
        <v>230</v>
      </c>
      <c r="AM509" s="23">
        <v>0</v>
      </c>
      <c r="AN509" s="23">
        <v>0</v>
      </c>
      <c r="AO509" s="23" t="s">
        <v>230</v>
      </c>
      <c r="AP509" s="23" t="s">
        <v>208</v>
      </c>
      <c r="AQ509" s="23">
        <v>4</v>
      </c>
      <c r="AR509" s="23">
        <v>4</v>
      </c>
      <c r="AS509" s="23" t="s">
        <v>404</v>
      </c>
      <c r="AU509" s="23">
        <f t="shared" ref="AU509" si="164">(6.1+1.6)*1000</f>
        <v>7699.9999999999991</v>
      </c>
      <c r="AV509" s="23">
        <f t="shared" ref="AV509" si="165">AU509/(170+36)</f>
        <v>37.378640776699022</v>
      </c>
      <c r="AW509" s="64" t="s">
        <v>512</v>
      </c>
      <c r="BK509" s="23">
        <v>4.8380000000000001</v>
      </c>
      <c r="BL509" s="23">
        <v>5.7350000000000003</v>
      </c>
      <c r="BM509" s="23" t="s">
        <v>510</v>
      </c>
      <c r="DS509" s="12"/>
      <c r="DU509" s="15"/>
      <c r="FA509" s="23" t="s">
        <v>513</v>
      </c>
      <c r="FB509" s="23" t="s">
        <v>854</v>
      </c>
      <c r="FC509" s="23">
        <v>26</v>
      </c>
    </row>
    <row r="510" spans="1:159" s="23" customFormat="1" x14ac:dyDescent="0.25">
      <c r="A510" s="23">
        <v>26</v>
      </c>
      <c r="B510" s="23" t="s">
        <v>495</v>
      </c>
      <c r="C510" s="23" t="s">
        <v>496</v>
      </c>
      <c r="D510" s="23">
        <v>2015</v>
      </c>
      <c r="E510" s="23">
        <v>2012</v>
      </c>
      <c r="F510" s="23" t="s">
        <v>357</v>
      </c>
      <c r="G510" s="23" t="s">
        <v>498</v>
      </c>
      <c r="H510" s="23">
        <f t="shared" si="108"/>
        <v>35.22</v>
      </c>
      <c r="I510" s="23">
        <f t="shared" si="109"/>
        <v>-77.650000000000006</v>
      </c>
      <c r="J510" s="23">
        <v>22.4</v>
      </c>
      <c r="P510" s="53" t="s">
        <v>179</v>
      </c>
      <c r="Q510" s="53"/>
      <c r="R510" s="53" t="s">
        <v>505</v>
      </c>
      <c r="S510" s="53" t="s">
        <v>1647</v>
      </c>
      <c r="T510" s="53" t="s">
        <v>1647</v>
      </c>
      <c r="X510" s="23" t="s">
        <v>175</v>
      </c>
      <c r="AB510" s="23" t="s">
        <v>1562</v>
      </c>
      <c r="AC510" s="23" t="s">
        <v>501</v>
      </c>
      <c r="AD510" s="153" t="str">
        <f t="shared" si="79"/>
        <v>Clover</v>
      </c>
      <c r="AE510" s="23" t="s">
        <v>167</v>
      </c>
      <c r="AJ510" s="23" t="s">
        <v>509</v>
      </c>
      <c r="AK510" s="23" t="s">
        <v>509</v>
      </c>
      <c r="AL510" s="23" t="s">
        <v>230</v>
      </c>
      <c r="AM510" s="23">
        <v>0</v>
      </c>
      <c r="AN510" s="23">
        <v>0</v>
      </c>
      <c r="AO510" s="23" t="s">
        <v>230</v>
      </c>
      <c r="AP510" s="23" t="s">
        <v>208</v>
      </c>
      <c r="AQ510" s="23">
        <v>4</v>
      </c>
      <c r="AR510" s="23">
        <v>4</v>
      </c>
      <c r="AS510" s="23" t="s">
        <v>404</v>
      </c>
      <c r="AU510" s="23">
        <f t="shared" ref="AU510" si="166">(6.4+1.9)*1000</f>
        <v>8300</v>
      </c>
      <c r="AV510" s="23">
        <f t="shared" ref="AV510" si="167">AU510/(110+27)</f>
        <v>60.583941605839414</v>
      </c>
      <c r="AW510" s="64" t="s">
        <v>512</v>
      </c>
      <c r="BK510" s="23">
        <v>4.8380000000000001</v>
      </c>
      <c r="BL510" s="23">
        <v>5.7350000000000003</v>
      </c>
      <c r="BM510" s="23" t="s">
        <v>510</v>
      </c>
      <c r="DS510" s="12"/>
      <c r="DU510" s="15"/>
      <c r="FA510" s="23" t="s">
        <v>513</v>
      </c>
      <c r="FB510" s="23" t="s">
        <v>854</v>
      </c>
      <c r="FC510" s="23">
        <v>26</v>
      </c>
    </row>
    <row r="511" spans="1:159" s="23" customFormat="1" x14ac:dyDescent="0.25">
      <c r="A511" s="23">
        <v>26</v>
      </c>
      <c r="B511" s="23" t="s">
        <v>495</v>
      </c>
      <c r="C511" s="23" t="s">
        <v>496</v>
      </c>
      <c r="D511" s="23">
        <v>2015</v>
      </c>
      <c r="E511" s="23">
        <v>2012</v>
      </c>
      <c r="F511" s="23" t="s">
        <v>357</v>
      </c>
      <c r="G511" s="23" t="s">
        <v>498</v>
      </c>
      <c r="H511" s="23">
        <f t="shared" si="108"/>
        <v>35.22</v>
      </c>
      <c r="I511" s="23">
        <f t="shared" si="109"/>
        <v>-77.650000000000006</v>
      </c>
      <c r="J511" s="23">
        <v>22.4</v>
      </c>
      <c r="P511" s="53" t="s">
        <v>179</v>
      </c>
      <c r="Q511" s="53"/>
      <c r="R511" s="53" t="s">
        <v>505</v>
      </c>
      <c r="S511" s="53" t="s">
        <v>1647</v>
      </c>
      <c r="T511" s="53" t="s">
        <v>1647</v>
      </c>
      <c r="X511" s="23" t="s">
        <v>175</v>
      </c>
      <c r="AB511" s="23" t="s">
        <v>1562</v>
      </c>
      <c r="AC511" s="23" t="s">
        <v>301</v>
      </c>
      <c r="AD511" s="153" t="str">
        <f t="shared" si="79"/>
        <v>Vetch</v>
      </c>
      <c r="AE511" s="23" t="s">
        <v>167</v>
      </c>
      <c r="AJ511" s="23" t="s">
        <v>509</v>
      </c>
      <c r="AK511" s="23" t="s">
        <v>509</v>
      </c>
      <c r="AL511" s="23" t="s">
        <v>230</v>
      </c>
      <c r="AM511" s="23">
        <v>0</v>
      </c>
      <c r="AN511" s="23">
        <v>0</v>
      </c>
      <c r="AO511" s="23" t="s">
        <v>230</v>
      </c>
      <c r="AP511" s="23" t="s">
        <v>208</v>
      </c>
      <c r="AQ511" s="23">
        <v>4</v>
      </c>
      <c r="AR511" s="23">
        <v>4</v>
      </c>
      <c r="AS511" s="23" t="s">
        <v>404</v>
      </c>
      <c r="AU511" s="23">
        <f t="shared" ref="AU511" si="168">(6.5+1.8)*1000</f>
        <v>8300</v>
      </c>
      <c r="AV511" s="23">
        <f t="shared" ref="AV511" si="169">AU511/(175+47)</f>
        <v>37.387387387387385</v>
      </c>
      <c r="AW511" s="64" t="s">
        <v>512</v>
      </c>
      <c r="BK511" s="23">
        <v>4.8380000000000001</v>
      </c>
      <c r="BL511" s="23">
        <v>5.7350000000000003</v>
      </c>
      <c r="BM511" s="23" t="s">
        <v>510</v>
      </c>
      <c r="DS511" s="12"/>
      <c r="DU511" s="15"/>
      <c r="FA511" s="23" t="s">
        <v>513</v>
      </c>
      <c r="FB511" s="23" t="s">
        <v>854</v>
      </c>
      <c r="FC511" s="23">
        <v>26</v>
      </c>
    </row>
    <row r="512" spans="1:159" s="23" customFormat="1" x14ac:dyDescent="0.25">
      <c r="A512" s="23">
        <v>26</v>
      </c>
      <c r="B512" s="23" t="s">
        <v>495</v>
      </c>
      <c r="C512" s="23" t="s">
        <v>496</v>
      </c>
      <c r="D512" s="23">
        <v>2015</v>
      </c>
      <c r="E512" s="23">
        <v>2012</v>
      </c>
      <c r="F512" s="23" t="s">
        <v>357</v>
      </c>
      <c r="G512" s="23" t="s">
        <v>498</v>
      </c>
      <c r="H512" s="23">
        <f t="shared" si="108"/>
        <v>35.22</v>
      </c>
      <c r="I512" s="23">
        <f t="shared" si="109"/>
        <v>-77.650000000000006</v>
      </c>
      <c r="J512" s="23">
        <v>22.4</v>
      </c>
      <c r="P512" s="53" t="s">
        <v>179</v>
      </c>
      <c r="Q512" s="53"/>
      <c r="R512" s="53" t="s">
        <v>506</v>
      </c>
      <c r="S512" s="53" t="s">
        <v>1647</v>
      </c>
      <c r="T512" s="53" t="s">
        <v>1647</v>
      </c>
      <c r="X512" s="23" t="s">
        <v>175</v>
      </c>
      <c r="AB512" s="23" t="s">
        <v>1562</v>
      </c>
      <c r="AC512" s="23" t="s">
        <v>500</v>
      </c>
      <c r="AD512" s="153" t="str">
        <f t="shared" si="79"/>
        <v>Pea</v>
      </c>
      <c r="AE512" s="23" t="s">
        <v>167</v>
      </c>
      <c r="AJ512" s="23" t="s">
        <v>509</v>
      </c>
      <c r="AK512" s="23" t="s">
        <v>509</v>
      </c>
      <c r="AL512" s="23" t="s">
        <v>230</v>
      </c>
      <c r="AM512" s="23">
        <v>0</v>
      </c>
      <c r="AN512" s="23">
        <v>0</v>
      </c>
      <c r="AO512" s="23" t="s">
        <v>230</v>
      </c>
      <c r="AP512" s="23" t="s">
        <v>208</v>
      </c>
      <c r="AQ512" s="23">
        <v>4</v>
      </c>
      <c r="AR512" s="23">
        <v>4</v>
      </c>
      <c r="AS512" s="23" t="s">
        <v>404</v>
      </c>
      <c r="AU512" s="23">
        <f t="shared" ref="AU512" si="170">(6.1+1.6)*1000</f>
        <v>7699.9999999999991</v>
      </c>
      <c r="AV512" s="23">
        <f t="shared" ref="AV512" si="171">AU512/(170+36)</f>
        <v>37.378640776699022</v>
      </c>
      <c r="AW512" s="64" t="s">
        <v>512</v>
      </c>
      <c r="BK512" s="23">
        <v>5.2370000000000001</v>
      </c>
      <c r="BL512" s="23">
        <v>6.38</v>
      </c>
      <c r="BM512" s="23" t="s">
        <v>510</v>
      </c>
      <c r="DS512" s="12"/>
      <c r="DU512" s="15"/>
      <c r="FA512" s="23" t="s">
        <v>513</v>
      </c>
      <c r="FB512" s="23" t="s">
        <v>854</v>
      </c>
      <c r="FC512" s="23">
        <v>26</v>
      </c>
    </row>
    <row r="513" spans="1:159" s="23" customFormat="1" x14ac:dyDescent="0.25">
      <c r="A513" s="23">
        <v>26</v>
      </c>
      <c r="B513" s="23" t="s">
        <v>495</v>
      </c>
      <c r="C513" s="23" t="s">
        <v>496</v>
      </c>
      <c r="D513" s="23">
        <v>2015</v>
      </c>
      <c r="E513" s="23">
        <v>2012</v>
      </c>
      <c r="F513" s="23" t="s">
        <v>357</v>
      </c>
      <c r="G513" s="23" t="s">
        <v>498</v>
      </c>
      <c r="H513" s="23">
        <f t="shared" si="108"/>
        <v>35.22</v>
      </c>
      <c r="I513" s="23">
        <f t="shared" si="109"/>
        <v>-77.650000000000006</v>
      </c>
      <c r="J513" s="23">
        <v>22.4</v>
      </c>
      <c r="P513" s="53" t="s">
        <v>179</v>
      </c>
      <c r="Q513" s="53"/>
      <c r="R513" s="53" t="s">
        <v>506</v>
      </c>
      <c r="S513" s="53" t="s">
        <v>1647</v>
      </c>
      <c r="T513" s="53" t="s">
        <v>1647</v>
      </c>
      <c r="X513" s="23" t="s">
        <v>175</v>
      </c>
      <c r="AB513" s="23" t="s">
        <v>1562</v>
      </c>
      <c r="AC513" s="23" t="s">
        <v>501</v>
      </c>
      <c r="AD513" s="153" t="str">
        <f t="shared" si="79"/>
        <v>Clover</v>
      </c>
      <c r="AE513" s="23" t="s">
        <v>167</v>
      </c>
      <c r="AJ513" s="23" t="s">
        <v>509</v>
      </c>
      <c r="AK513" s="23" t="s">
        <v>509</v>
      </c>
      <c r="AL513" s="23" t="s">
        <v>230</v>
      </c>
      <c r="AM513" s="23">
        <v>0</v>
      </c>
      <c r="AN513" s="23">
        <v>0</v>
      </c>
      <c r="AO513" s="23" t="s">
        <v>230</v>
      </c>
      <c r="AP513" s="23" t="s">
        <v>208</v>
      </c>
      <c r="AQ513" s="23">
        <v>4</v>
      </c>
      <c r="AR513" s="23">
        <v>4</v>
      </c>
      <c r="AS513" s="23" t="s">
        <v>404</v>
      </c>
      <c r="AU513" s="23">
        <f t="shared" ref="AU513" si="172">(6.4+1.9)*1000</f>
        <v>8300</v>
      </c>
      <c r="AV513" s="23">
        <f t="shared" ref="AV513" si="173">AU513/(110+27)</f>
        <v>60.583941605839414</v>
      </c>
      <c r="AW513" s="64" t="s">
        <v>512</v>
      </c>
      <c r="BK513" s="23">
        <v>5.2370000000000001</v>
      </c>
      <c r="BL513" s="23">
        <v>6.38</v>
      </c>
      <c r="BM513" s="23" t="s">
        <v>510</v>
      </c>
      <c r="DS513" s="12"/>
      <c r="DU513" s="15"/>
      <c r="FA513" s="23" t="s">
        <v>513</v>
      </c>
      <c r="FB513" s="23" t="s">
        <v>854</v>
      </c>
      <c r="FC513" s="23">
        <v>26</v>
      </c>
    </row>
    <row r="514" spans="1:159" s="23" customFormat="1" x14ac:dyDescent="0.25">
      <c r="A514" s="23">
        <v>26</v>
      </c>
      <c r="B514" s="23" t="s">
        <v>495</v>
      </c>
      <c r="C514" s="23" t="s">
        <v>496</v>
      </c>
      <c r="D514" s="23">
        <v>2015</v>
      </c>
      <c r="E514" s="23">
        <v>2012</v>
      </c>
      <c r="F514" s="23" t="s">
        <v>357</v>
      </c>
      <c r="G514" s="23" t="s">
        <v>498</v>
      </c>
      <c r="H514" s="23">
        <f t="shared" si="108"/>
        <v>35.22</v>
      </c>
      <c r="I514" s="23">
        <f t="shared" si="109"/>
        <v>-77.650000000000006</v>
      </c>
      <c r="J514" s="23">
        <v>22.4</v>
      </c>
      <c r="P514" s="53" t="s">
        <v>179</v>
      </c>
      <c r="Q514" s="53"/>
      <c r="R514" s="53" t="s">
        <v>506</v>
      </c>
      <c r="S514" s="53" t="s">
        <v>1647</v>
      </c>
      <c r="T514" s="53" t="s">
        <v>1647</v>
      </c>
      <c r="X514" s="23" t="s">
        <v>175</v>
      </c>
      <c r="AB514" s="23" t="s">
        <v>1562</v>
      </c>
      <c r="AC514" s="23" t="s">
        <v>301</v>
      </c>
      <c r="AD514" s="153" t="str">
        <f t="shared" si="79"/>
        <v>Vetch</v>
      </c>
      <c r="AE514" s="23" t="s">
        <v>167</v>
      </c>
      <c r="AJ514" s="23" t="s">
        <v>509</v>
      </c>
      <c r="AK514" s="23" t="s">
        <v>509</v>
      </c>
      <c r="AL514" s="23" t="s">
        <v>230</v>
      </c>
      <c r="AM514" s="23">
        <v>0</v>
      </c>
      <c r="AN514" s="23">
        <v>0</v>
      </c>
      <c r="AO514" s="23" t="s">
        <v>230</v>
      </c>
      <c r="AP514" s="23" t="s">
        <v>208</v>
      </c>
      <c r="AQ514" s="23">
        <v>4</v>
      </c>
      <c r="AR514" s="23">
        <v>4</v>
      </c>
      <c r="AS514" s="23" t="s">
        <v>404</v>
      </c>
      <c r="AU514" s="23">
        <f t="shared" ref="AU514" si="174">(6.5+1.8)*1000</f>
        <v>8300</v>
      </c>
      <c r="AV514" s="23">
        <f t="shared" ref="AV514" si="175">AU514/(175+47)</f>
        <v>37.387387387387385</v>
      </c>
      <c r="AW514" s="64" t="s">
        <v>512</v>
      </c>
      <c r="BK514" s="23">
        <v>5.2370000000000001</v>
      </c>
      <c r="BL514" s="23">
        <v>6.38</v>
      </c>
      <c r="BM514" s="23" t="s">
        <v>510</v>
      </c>
      <c r="DS514" s="12"/>
      <c r="DU514" s="15"/>
      <c r="FA514" s="23" t="s">
        <v>513</v>
      </c>
      <c r="FB514" s="23" t="s">
        <v>854</v>
      </c>
      <c r="FC514" s="23">
        <v>26</v>
      </c>
    </row>
    <row r="515" spans="1:159" s="23" customFormat="1" x14ac:dyDescent="0.25">
      <c r="A515" s="23">
        <v>26</v>
      </c>
      <c r="B515" s="23" t="s">
        <v>495</v>
      </c>
      <c r="C515" s="23" t="s">
        <v>496</v>
      </c>
      <c r="D515" s="23">
        <v>2015</v>
      </c>
      <c r="E515" s="23">
        <v>2012</v>
      </c>
      <c r="F515" s="23" t="s">
        <v>357</v>
      </c>
      <c r="G515" s="23" t="s">
        <v>498</v>
      </c>
      <c r="H515" s="23">
        <f t="shared" si="108"/>
        <v>35.22</v>
      </c>
      <c r="I515" s="23">
        <f t="shared" si="109"/>
        <v>-77.650000000000006</v>
      </c>
      <c r="J515" s="23">
        <v>22.4</v>
      </c>
      <c r="P515" s="53" t="s">
        <v>179</v>
      </c>
      <c r="Q515" s="53"/>
      <c r="R515" s="53" t="s">
        <v>507</v>
      </c>
      <c r="S515" s="53" t="s">
        <v>1647</v>
      </c>
      <c r="T515" s="53" t="s">
        <v>1647</v>
      </c>
      <c r="X515" s="23" t="s">
        <v>175</v>
      </c>
      <c r="AB515" s="23" t="s">
        <v>1562</v>
      </c>
      <c r="AC515" s="23" t="s">
        <v>500</v>
      </c>
      <c r="AD515" s="153" t="str">
        <f t="shared" ref="AD515:AD578" si="176">IF(OR(AC515="*Rye",AC515="Rye*",AC515="Downy_brome"),"Rye",IF(OR(AC515="*Oat",AC515="Oat*",AC515="Trudan_8",AC515="*Wheat",AC515="Wheat*",AC515="Barley*",AC515="Hemp",AC515="Hemp",AC515="Triticale*",AC515="Grass",AC515="Millet"),"Grass",IF(OR(AC515="*clover",AC515="clover*",AC515="Vetch*",AC515="Vetch*",AC515="Alfalfa",AC515="Soybean",AC515="*Lentil",AC515="Lentil*",AC515="*Pea",AC515="Pea*",AC515="Lupine"),"Legume",AC515)))</f>
        <v>Pea</v>
      </c>
      <c r="AE515" s="23" t="s">
        <v>167</v>
      </c>
      <c r="AJ515" s="23" t="s">
        <v>509</v>
      </c>
      <c r="AK515" s="23" t="s">
        <v>509</v>
      </c>
      <c r="AL515" s="23" t="s">
        <v>230</v>
      </c>
      <c r="AM515" s="23">
        <v>0</v>
      </c>
      <c r="AN515" s="23">
        <v>0</v>
      </c>
      <c r="AO515" s="23" t="s">
        <v>230</v>
      </c>
      <c r="AP515" s="23" t="s">
        <v>208</v>
      </c>
      <c r="AQ515" s="23">
        <v>4</v>
      </c>
      <c r="AR515" s="23">
        <v>4</v>
      </c>
      <c r="AS515" s="23" t="s">
        <v>404</v>
      </c>
      <c r="AU515" s="23">
        <f t="shared" ref="AU515" si="177">(6.1+1.6)*1000</f>
        <v>7699.9999999999991</v>
      </c>
      <c r="AV515" s="23">
        <f t="shared" ref="AV515" si="178">AU515/(170+36)</f>
        <v>37.378640776699022</v>
      </c>
      <c r="AW515" s="64" t="s">
        <v>512</v>
      </c>
      <c r="BK515" s="23">
        <v>3.5859999999999999</v>
      </c>
      <c r="BL515" s="23">
        <v>4.0750000000000002</v>
      </c>
      <c r="BM515" s="23" t="s">
        <v>510</v>
      </c>
      <c r="DS515" s="12"/>
      <c r="DU515" s="15"/>
      <c r="FA515" s="23" t="s">
        <v>513</v>
      </c>
      <c r="FB515" s="23" t="s">
        <v>854</v>
      </c>
      <c r="FC515" s="23">
        <v>26</v>
      </c>
    </row>
    <row r="516" spans="1:159" s="23" customFormat="1" x14ac:dyDescent="0.25">
      <c r="A516" s="23">
        <v>26</v>
      </c>
      <c r="B516" s="23" t="s">
        <v>495</v>
      </c>
      <c r="C516" s="23" t="s">
        <v>496</v>
      </c>
      <c r="D516" s="23">
        <v>2015</v>
      </c>
      <c r="E516" s="23">
        <v>2012</v>
      </c>
      <c r="F516" s="23" t="s">
        <v>357</v>
      </c>
      <c r="G516" s="23" t="s">
        <v>498</v>
      </c>
      <c r="H516" s="23">
        <f t="shared" si="108"/>
        <v>35.22</v>
      </c>
      <c r="I516" s="23">
        <f t="shared" si="109"/>
        <v>-77.650000000000006</v>
      </c>
      <c r="J516" s="23">
        <v>22.4</v>
      </c>
      <c r="P516" s="53" t="s">
        <v>179</v>
      </c>
      <c r="Q516" s="53"/>
      <c r="R516" s="53" t="s">
        <v>507</v>
      </c>
      <c r="S516" s="53" t="s">
        <v>1647</v>
      </c>
      <c r="T516" s="53" t="s">
        <v>1647</v>
      </c>
      <c r="X516" s="23" t="s">
        <v>175</v>
      </c>
      <c r="AB516" s="23" t="s">
        <v>1562</v>
      </c>
      <c r="AC516" s="23" t="s">
        <v>501</v>
      </c>
      <c r="AD516" s="153" t="str">
        <f t="shared" si="176"/>
        <v>Clover</v>
      </c>
      <c r="AE516" s="23" t="s">
        <v>167</v>
      </c>
      <c r="AJ516" s="23" t="s">
        <v>509</v>
      </c>
      <c r="AK516" s="23" t="s">
        <v>509</v>
      </c>
      <c r="AL516" s="23" t="s">
        <v>230</v>
      </c>
      <c r="AM516" s="23">
        <v>0</v>
      </c>
      <c r="AN516" s="23">
        <v>0</v>
      </c>
      <c r="AO516" s="23" t="s">
        <v>230</v>
      </c>
      <c r="AP516" s="23" t="s">
        <v>208</v>
      </c>
      <c r="AQ516" s="23">
        <v>4</v>
      </c>
      <c r="AR516" s="23">
        <v>4</v>
      </c>
      <c r="AS516" s="23" t="s">
        <v>404</v>
      </c>
      <c r="AU516" s="23">
        <f t="shared" ref="AU516" si="179">(6.4+1.9)*1000</f>
        <v>8300</v>
      </c>
      <c r="AV516" s="23">
        <f t="shared" ref="AV516" si="180">AU516/(110+27)</f>
        <v>60.583941605839414</v>
      </c>
      <c r="AW516" s="64" t="s">
        <v>512</v>
      </c>
      <c r="BK516" s="23">
        <v>3.5859999999999999</v>
      </c>
      <c r="BL516" s="23">
        <v>2.2799999999999998</v>
      </c>
      <c r="BM516" s="23" t="s">
        <v>510</v>
      </c>
      <c r="DS516" s="12"/>
      <c r="DU516" s="15"/>
      <c r="FA516" s="23" t="s">
        <v>513</v>
      </c>
      <c r="FB516" s="23" t="s">
        <v>854</v>
      </c>
      <c r="FC516" s="23">
        <v>26</v>
      </c>
    </row>
    <row r="517" spans="1:159" s="23" customFormat="1" x14ac:dyDescent="0.25">
      <c r="A517" s="23">
        <v>26</v>
      </c>
      <c r="B517" s="23" t="s">
        <v>495</v>
      </c>
      <c r="C517" s="23" t="s">
        <v>496</v>
      </c>
      <c r="D517" s="23">
        <v>2015</v>
      </c>
      <c r="E517" s="23">
        <v>2012</v>
      </c>
      <c r="F517" s="23" t="s">
        <v>357</v>
      </c>
      <c r="G517" s="23" t="s">
        <v>498</v>
      </c>
      <c r="H517" s="23">
        <f t="shared" si="108"/>
        <v>35.22</v>
      </c>
      <c r="I517" s="23">
        <f t="shared" si="109"/>
        <v>-77.650000000000006</v>
      </c>
      <c r="J517" s="23">
        <v>22.4</v>
      </c>
      <c r="P517" s="53" t="s">
        <v>179</v>
      </c>
      <c r="Q517" s="53"/>
      <c r="R517" s="53" t="s">
        <v>507</v>
      </c>
      <c r="S517" s="53" t="s">
        <v>1647</v>
      </c>
      <c r="T517" s="53" t="s">
        <v>1647</v>
      </c>
      <c r="X517" s="23" t="s">
        <v>175</v>
      </c>
      <c r="AB517" s="23" t="s">
        <v>1562</v>
      </c>
      <c r="AC517" s="23" t="s">
        <v>301</v>
      </c>
      <c r="AD517" s="153" t="str">
        <f t="shared" si="176"/>
        <v>Vetch</v>
      </c>
      <c r="AE517" s="23" t="s">
        <v>167</v>
      </c>
      <c r="AJ517" s="23" t="s">
        <v>509</v>
      </c>
      <c r="AK517" s="23" t="s">
        <v>509</v>
      </c>
      <c r="AL517" s="23" t="s">
        <v>230</v>
      </c>
      <c r="AM517" s="23">
        <v>0</v>
      </c>
      <c r="AN517" s="23">
        <v>0</v>
      </c>
      <c r="AO517" s="23" t="s">
        <v>230</v>
      </c>
      <c r="AP517" s="23" t="s">
        <v>208</v>
      </c>
      <c r="AQ517" s="23">
        <v>4</v>
      </c>
      <c r="AR517" s="23">
        <v>4</v>
      </c>
      <c r="AS517" s="23" t="s">
        <v>404</v>
      </c>
      <c r="AU517" s="23">
        <f t="shared" ref="AU517" si="181">(6.5+1.8)*1000</f>
        <v>8300</v>
      </c>
      <c r="AV517" s="23">
        <f t="shared" ref="AV517" si="182">AU517/(175+47)</f>
        <v>37.387387387387385</v>
      </c>
      <c r="AW517" s="64" t="s">
        <v>512</v>
      </c>
      <c r="BK517" s="23">
        <v>3.5859999999999999</v>
      </c>
      <c r="BL517" s="23">
        <v>4.0750000000000002</v>
      </c>
      <c r="BM517" s="23" t="s">
        <v>510</v>
      </c>
      <c r="DS517" s="12"/>
      <c r="DU517" s="15"/>
      <c r="FA517" s="23" t="s">
        <v>513</v>
      </c>
      <c r="FB517" s="23" t="s">
        <v>854</v>
      </c>
      <c r="FC517" s="23">
        <v>26</v>
      </c>
    </row>
    <row r="518" spans="1:159" s="23" customFormat="1" x14ac:dyDescent="0.25">
      <c r="A518" s="23">
        <v>26</v>
      </c>
      <c r="B518" s="23" t="s">
        <v>495</v>
      </c>
      <c r="C518" s="23" t="s">
        <v>496</v>
      </c>
      <c r="D518" s="23">
        <v>2015</v>
      </c>
      <c r="E518" s="23">
        <v>2012</v>
      </c>
      <c r="F518" s="23" t="s">
        <v>357</v>
      </c>
      <c r="G518" s="23" t="s">
        <v>498</v>
      </c>
      <c r="H518" s="23">
        <f t="shared" si="108"/>
        <v>35.22</v>
      </c>
      <c r="I518" s="23">
        <f t="shared" si="109"/>
        <v>-77.650000000000006</v>
      </c>
      <c r="J518" s="23">
        <v>22.4</v>
      </c>
      <c r="P518" s="53" t="s">
        <v>179</v>
      </c>
      <c r="Q518" s="53"/>
      <c r="R518" s="53" t="s">
        <v>508</v>
      </c>
      <c r="S518" s="53" t="s">
        <v>1647</v>
      </c>
      <c r="T518" s="53" t="s">
        <v>1647</v>
      </c>
      <c r="X518" s="23" t="s">
        <v>175</v>
      </c>
      <c r="AB518" s="23" t="s">
        <v>1562</v>
      </c>
      <c r="AC518" s="23" t="s">
        <v>500</v>
      </c>
      <c r="AD518" s="153" t="str">
        <f t="shared" si="176"/>
        <v>Pea</v>
      </c>
      <c r="AE518" s="23" t="s">
        <v>167</v>
      </c>
      <c r="AJ518" s="23" t="s">
        <v>509</v>
      </c>
      <c r="AK518" s="23" t="s">
        <v>509</v>
      </c>
      <c r="AL518" s="23" t="s">
        <v>230</v>
      </c>
      <c r="AM518" s="23">
        <v>0</v>
      </c>
      <c r="AN518" s="23">
        <v>0</v>
      </c>
      <c r="AO518" s="23" t="s">
        <v>230</v>
      </c>
      <c r="AP518" s="23" t="s">
        <v>208</v>
      </c>
      <c r="AQ518" s="23">
        <v>4</v>
      </c>
      <c r="AR518" s="23">
        <v>4</v>
      </c>
      <c r="AS518" s="23" t="s">
        <v>404</v>
      </c>
      <c r="AU518" s="23">
        <f t="shared" ref="AU518" si="183">(6.1+1.6)*1000</f>
        <v>7699.9999999999991</v>
      </c>
      <c r="AV518" s="23">
        <f t="shared" ref="AV518" si="184">AU518/(170+36)</f>
        <v>37.378640776699022</v>
      </c>
      <c r="AW518" s="64" t="s">
        <v>512</v>
      </c>
      <c r="BK518" s="23">
        <v>6.4219999999999997</v>
      </c>
      <c r="BL518" s="23">
        <v>5.2</v>
      </c>
      <c r="BM518" s="23" t="s">
        <v>510</v>
      </c>
      <c r="DS518" s="12"/>
      <c r="DU518" s="15"/>
      <c r="FA518" s="23" t="s">
        <v>513</v>
      </c>
      <c r="FB518" s="23" t="s">
        <v>854</v>
      </c>
      <c r="FC518" s="23">
        <v>26</v>
      </c>
    </row>
    <row r="519" spans="1:159" s="23" customFormat="1" x14ac:dyDescent="0.25">
      <c r="A519" s="23">
        <v>26</v>
      </c>
      <c r="B519" s="23" t="s">
        <v>495</v>
      </c>
      <c r="C519" s="23" t="s">
        <v>496</v>
      </c>
      <c r="D519" s="23">
        <v>2015</v>
      </c>
      <c r="E519" s="23">
        <v>2012</v>
      </c>
      <c r="F519" s="23" t="s">
        <v>357</v>
      </c>
      <c r="G519" s="23" t="s">
        <v>498</v>
      </c>
      <c r="H519" s="23">
        <f t="shared" si="108"/>
        <v>35.22</v>
      </c>
      <c r="I519" s="23">
        <f t="shared" si="109"/>
        <v>-77.650000000000006</v>
      </c>
      <c r="J519" s="23">
        <v>22.4</v>
      </c>
      <c r="P519" s="53" t="s">
        <v>179</v>
      </c>
      <c r="Q519" s="53"/>
      <c r="R519" s="53" t="s">
        <v>508</v>
      </c>
      <c r="S519" s="53" t="s">
        <v>1647</v>
      </c>
      <c r="T519" s="53" t="s">
        <v>1647</v>
      </c>
      <c r="X519" s="23" t="s">
        <v>175</v>
      </c>
      <c r="AB519" s="23" t="s">
        <v>1562</v>
      </c>
      <c r="AC519" s="23" t="s">
        <v>501</v>
      </c>
      <c r="AD519" s="153" t="str">
        <f t="shared" si="176"/>
        <v>Clover</v>
      </c>
      <c r="AE519" s="23" t="s">
        <v>167</v>
      </c>
      <c r="AJ519" s="23" t="s">
        <v>509</v>
      </c>
      <c r="AK519" s="23" t="s">
        <v>509</v>
      </c>
      <c r="AL519" s="23" t="s">
        <v>230</v>
      </c>
      <c r="AM519" s="23">
        <v>0</v>
      </c>
      <c r="AN519" s="23">
        <v>0</v>
      </c>
      <c r="AO519" s="23" t="s">
        <v>230</v>
      </c>
      <c r="AP519" s="23" t="s">
        <v>208</v>
      </c>
      <c r="AQ519" s="23">
        <v>4</v>
      </c>
      <c r="AR519" s="23">
        <v>4</v>
      </c>
      <c r="AS519" s="23" t="s">
        <v>404</v>
      </c>
      <c r="AU519" s="23">
        <f t="shared" ref="AU519" si="185">(6.4+1.9)*1000</f>
        <v>8300</v>
      </c>
      <c r="AV519" s="23">
        <f t="shared" ref="AV519" si="186">AU519/(110+27)</f>
        <v>60.583941605839414</v>
      </c>
      <c r="AW519" s="64" t="s">
        <v>512</v>
      </c>
      <c r="BK519" s="23">
        <v>6.4219999999999997</v>
      </c>
      <c r="BL519" s="23">
        <v>4.1399999999999997</v>
      </c>
      <c r="BM519" s="23" t="s">
        <v>510</v>
      </c>
      <c r="DS519" s="12"/>
      <c r="DU519" s="15"/>
      <c r="FA519" s="23" t="s">
        <v>513</v>
      </c>
      <c r="FB519" s="23" t="s">
        <v>854</v>
      </c>
      <c r="FC519" s="23">
        <v>26</v>
      </c>
    </row>
    <row r="520" spans="1:159" s="23" customFormat="1" x14ac:dyDescent="0.25">
      <c r="A520" s="23">
        <v>26</v>
      </c>
      <c r="B520" s="23" t="s">
        <v>495</v>
      </c>
      <c r="C520" s="23" t="s">
        <v>496</v>
      </c>
      <c r="D520" s="23">
        <v>2015</v>
      </c>
      <c r="E520" s="23">
        <v>2012</v>
      </c>
      <c r="F520" s="23" t="s">
        <v>357</v>
      </c>
      <c r="G520" s="23" t="s">
        <v>498</v>
      </c>
      <c r="H520" s="23">
        <f t="shared" si="108"/>
        <v>35.22</v>
      </c>
      <c r="I520" s="23">
        <f t="shared" si="109"/>
        <v>-77.650000000000006</v>
      </c>
      <c r="J520" s="23">
        <v>22.4</v>
      </c>
      <c r="P520" s="53" t="s">
        <v>179</v>
      </c>
      <c r="Q520" s="53"/>
      <c r="R520" s="53" t="s">
        <v>508</v>
      </c>
      <c r="S520" s="53" t="s">
        <v>1647</v>
      </c>
      <c r="T520" s="53" t="s">
        <v>1647</v>
      </c>
      <c r="X520" s="23" t="s">
        <v>175</v>
      </c>
      <c r="AB520" s="23" t="s">
        <v>1562</v>
      </c>
      <c r="AC520" s="23" t="s">
        <v>301</v>
      </c>
      <c r="AD520" s="153" t="str">
        <f t="shared" si="176"/>
        <v>Vetch</v>
      </c>
      <c r="AE520" s="23" t="s">
        <v>167</v>
      </c>
      <c r="AJ520" s="23" t="s">
        <v>509</v>
      </c>
      <c r="AK520" s="23" t="s">
        <v>509</v>
      </c>
      <c r="AL520" s="23" t="s">
        <v>230</v>
      </c>
      <c r="AM520" s="23">
        <v>0</v>
      </c>
      <c r="AN520" s="23">
        <v>0</v>
      </c>
      <c r="AO520" s="23" t="s">
        <v>230</v>
      </c>
      <c r="AP520" s="23" t="s">
        <v>208</v>
      </c>
      <c r="AQ520" s="23">
        <v>4</v>
      </c>
      <c r="AR520" s="23">
        <v>4</v>
      </c>
      <c r="AS520" s="23" t="s">
        <v>404</v>
      </c>
      <c r="AU520" s="23">
        <f t="shared" ref="AU520" si="187">(6.5+1.8)*1000</f>
        <v>8300</v>
      </c>
      <c r="AV520" s="23">
        <f t="shared" ref="AV520" si="188">AU520/(175+47)</f>
        <v>37.387387387387385</v>
      </c>
      <c r="AW520" s="64" t="s">
        <v>512</v>
      </c>
      <c r="BK520" s="23">
        <v>6.4219999999999997</v>
      </c>
      <c r="BL520" s="23">
        <v>6.58</v>
      </c>
      <c r="BM520" s="23" t="s">
        <v>510</v>
      </c>
      <c r="DS520" s="12"/>
      <c r="DU520" s="15"/>
      <c r="FA520" s="23" t="s">
        <v>513</v>
      </c>
      <c r="FB520" s="23" t="s">
        <v>854</v>
      </c>
      <c r="FC520" s="23">
        <v>26</v>
      </c>
    </row>
    <row r="521" spans="1:159" s="42" customFormat="1" x14ac:dyDescent="0.25">
      <c r="A521" s="42">
        <v>27</v>
      </c>
      <c r="B521" s="42" t="s">
        <v>515</v>
      </c>
      <c r="C521" s="42" t="s">
        <v>516</v>
      </c>
      <c r="D521" s="42">
        <v>2017</v>
      </c>
      <c r="E521" s="42">
        <v>2008</v>
      </c>
      <c r="F521" s="42" t="s">
        <v>517</v>
      </c>
      <c r="G521" s="42" t="s">
        <v>518</v>
      </c>
      <c r="H521" s="42">
        <f t="shared" ref="H521:H526" si="189">42+52/60</f>
        <v>42.866666666666667</v>
      </c>
      <c r="I521" s="42">
        <f t="shared" ref="I521:I526" si="190">-76-33/60</f>
        <v>-76.55</v>
      </c>
      <c r="J521" s="42">
        <v>255.8</v>
      </c>
      <c r="N521" s="42">
        <v>979</v>
      </c>
      <c r="P521" s="59" t="s">
        <v>183</v>
      </c>
      <c r="Q521" s="59"/>
      <c r="R521" s="59" t="s">
        <v>519</v>
      </c>
      <c r="S521" s="59" t="s">
        <v>1656</v>
      </c>
      <c r="T521" s="59" t="s">
        <v>1656</v>
      </c>
      <c r="X521" s="42" t="s">
        <v>175</v>
      </c>
      <c r="AB521" s="42" t="s">
        <v>1563</v>
      </c>
      <c r="AC521" s="42" t="s">
        <v>769</v>
      </c>
      <c r="AD521" s="153" t="str">
        <f t="shared" si="176"/>
        <v>Mixed</v>
      </c>
      <c r="AE521" s="42" t="s">
        <v>277</v>
      </c>
      <c r="AG521" s="42" t="s">
        <v>520</v>
      </c>
      <c r="AH521" s="42" t="s">
        <v>520</v>
      </c>
      <c r="AI521" s="42" t="s">
        <v>230</v>
      </c>
      <c r="AM521" s="42" t="s">
        <v>521</v>
      </c>
      <c r="AN521" s="42" t="s">
        <v>521</v>
      </c>
      <c r="AO521" s="42" t="s">
        <v>230</v>
      </c>
      <c r="AP521" s="42" t="s">
        <v>208</v>
      </c>
      <c r="AQ521" s="42">
        <v>4</v>
      </c>
      <c r="AR521" s="42">
        <v>4</v>
      </c>
      <c r="AS521" s="42" t="s">
        <v>404</v>
      </c>
      <c r="AW521" s="63"/>
      <c r="BB521" s="42">
        <v>5611</v>
      </c>
      <c r="BC521" s="42">
        <v>5786</v>
      </c>
      <c r="DM521" s="42">
        <f>14.59*10</f>
        <v>145.9</v>
      </c>
      <c r="DN521" s="42">
        <v>152</v>
      </c>
      <c r="DS521" s="12"/>
      <c r="DU521" s="15"/>
      <c r="FC521" s="42">
        <v>27</v>
      </c>
    </row>
    <row r="522" spans="1:159" s="42" customFormat="1" x14ac:dyDescent="0.25">
      <c r="A522" s="42">
        <v>27</v>
      </c>
      <c r="B522" s="42" t="s">
        <v>515</v>
      </c>
      <c r="C522" s="42" t="s">
        <v>516</v>
      </c>
      <c r="D522" s="42">
        <v>2017</v>
      </c>
      <c r="E522" s="42">
        <v>2008</v>
      </c>
      <c r="F522" s="42" t="s">
        <v>517</v>
      </c>
      <c r="G522" s="42" t="s">
        <v>518</v>
      </c>
      <c r="H522" s="42">
        <f t="shared" si="189"/>
        <v>42.866666666666667</v>
      </c>
      <c r="I522" s="42">
        <f t="shared" si="190"/>
        <v>-76.55</v>
      </c>
      <c r="J522" s="42">
        <v>255.8</v>
      </c>
      <c r="N522" s="42">
        <v>979</v>
      </c>
      <c r="P522" s="59" t="s">
        <v>183</v>
      </c>
      <c r="Q522" s="59"/>
      <c r="R522" s="59" t="s">
        <v>519</v>
      </c>
      <c r="S522" s="59" t="s">
        <v>1656</v>
      </c>
      <c r="T522" s="59" t="s">
        <v>1656</v>
      </c>
      <c r="X522" s="42" t="s">
        <v>175</v>
      </c>
      <c r="AB522" s="42" t="s">
        <v>1563</v>
      </c>
      <c r="AC522" s="42" t="s">
        <v>769</v>
      </c>
      <c r="AD522" s="153" t="str">
        <f t="shared" si="176"/>
        <v>Mixed</v>
      </c>
      <c r="AE522" s="42" t="s">
        <v>277</v>
      </c>
      <c r="AG522" s="42" t="s">
        <v>520</v>
      </c>
      <c r="AH522" s="42" t="s">
        <v>520</v>
      </c>
      <c r="AI522" s="42" t="s">
        <v>230</v>
      </c>
      <c r="AM522" s="42" t="s">
        <v>521</v>
      </c>
      <c r="AN522" s="42" t="s">
        <v>521</v>
      </c>
      <c r="AO522" s="42" t="s">
        <v>230</v>
      </c>
      <c r="AP522" s="42" t="s">
        <v>208</v>
      </c>
      <c r="AQ522" s="42">
        <v>4</v>
      </c>
      <c r="AR522" s="42">
        <v>4</v>
      </c>
      <c r="AS522" s="42" t="s">
        <v>404</v>
      </c>
      <c r="AW522" s="63"/>
      <c r="BB522" s="42">
        <v>5611</v>
      </c>
      <c r="BC522" s="42">
        <v>6302</v>
      </c>
      <c r="DM522" s="42">
        <f t="shared" ref="DM522:DM523" si="191">14.59*10</f>
        <v>145.9</v>
      </c>
      <c r="DN522" s="42">
        <v>47.9</v>
      </c>
      <c r="DS522" s="12"/>
      <c r="DU522" s="15"/>
      <c r="FC522" s="42">
        <v>27</v>
      </c>
    </row>
    <row r="523" spans="1:159" s="42" customFormat="1" x14ac:dyDescent="0.25">
      <c r="A523" s="42">
        <v>27</v>
      </c>
      <c r="B523" s="42" t="s">
        <v>515</v>
      </c>
      <c r="C523" s="42" t="s">
        <v>516</v>
      </c>
      <c r="D523" s="42">
        <v>2017</v>
      </c>
      <c r="E523" s="42">
        <v>2008</v>
      </c>
      <c r="F523" s="42" t="s">
        <v>517</v>
      </c>
      <c r="G523" s="42" t="s">
        <v>518</v>
      </c>
      <c r="H523" s="42">
        <f t="shared" si="189"/>
        <v>42.866666666666667</v>
      </c>
      <c r="I523" s="42">
        <f t="shared" si="190"/>
        <v>-76.55</v>
      </c>
      <c r="J523" s="42">
        <v>255.8</v>
      </c>
      <c r="N523" s="42">
        <v>979</v>
      </c>
      <c r="P523" s="59" t="s">
        <v>183</v>
      </c>
      <c r="Q523" s="59"/>
      <c r="R523" s="59" t="s">
        <v>519</v>
      </c>
      <c r="S523" s="59" t="s">
        <v>1656</v>
      </c>
      <c r="T523" s="59" t="s">
        <v>1656</v>
      </c>
      <c r="X523" s="42" t="s">
        <v>175</v>
      </c>
      <c r="AB523" s="42" t="s">
        <v>1563</v>
      </c>
      <c r="AC523" s="42" t="s">
        <v>769</v>
      </c>
      <c r="AD523" s="153" t="str">
        <f t="shared" si="176"/>
        <v>Mixed</v>
      </c>
      <c r="AE523" s="42" t="s">
        <v>277</v>
      </c>
      <c r="AG523" s="42" t="s">
        <v>520</v>
      </c>
      <c r="AH523" s="42" t="s">
        <v>520</v>
      </c>
      <c r="AI523" s="42" t="s">
        <v>230</v>
      </c>
      <c r="AM523" s="42" t="s">
        <v>521</v>
      </c>
      <c r="AN523" s="42" t="s">
        <v>521</v>
      </c>
      <c r="AO523" s="42" t="s">
        <v>230</v>
      </c>
      <c r="AP523" s="42" t="s">
        <v>208</v>
      </c>
      <c r="AQ523" s="42">
        <v>4</v>
      </c>
      <c r="AR523" s="42">
        <v>4</v>
      </c>
      <c r="AS523" s="42" t="s">
        <v>404</v>
      </c>
      <c r="AW523" s="63"/>
      <c r="BB523" s="42">
        <v>5611</v>
      </c>
      <c r="BC523" s="42">
        <v>6477</v>
      </c>
      <c r="DM523" s="42">
        <f t="shared" si="191"/>
        <v>145.9</v>
      </c>
      <c r="DN523" s="42">
        <v>136.9</v>
      </c>
      <c r="DS523" s="12"/>
      <c r="DU523" s="15"/>
      <c r="FC523" s="42">
        <v>27</v>
      </c>
    </row>
    <row r="524" spans="1:159" s="5" customFormat="1" x14ac:dyDescent="0.25">
      <c r="A524" s="42">
        <v>27</v>
      </c>
      <c r="B524" s="42" t="s">
        <v>515</v>
      </c>
      <c r="C524" s="42" t="s">
        <v>516</v>
      </c>
      <c r="D524" s="42">
        <v>2017</v>
      </c>
      <c r="E524" s="42">
        <v>2008</v>
      </c>
      <c r="F524" s="42" t="s">
        <v>517</v>
      </c>
      <c r="G524" s="42" t="s">
        <v>518</v>
      </c>
      <c r="H524" s="42">
        <f t="shared" si="189"/>
        <v>42.866666666666667</v>
      </c>
      <c r="I524" s="42">
        <f t="shared" si="190"/>
        <v>-76.55</v>
      </c>
      <c r="J524" s="42">
        <v>255.8</v>
      </c>
      <c r="K524" s="42"/>
      <c r="L524" s="42"/>
      <c r="M524" s="42"/>
      <c r="N524" s="42">
        <v>979</v>
      </c>
      <c r="O524" s="42"/>
      <c r="P524" s="59" t="s">
        <v>183</v>
      </c>
      <c r="Q524" s="59"/>
      <c r="R524" s="59" t="s">
        <v>519</v>
      </c>
      <c r="S524" s="59" t="s">
        <v>1656</v>
      </c>
      <c r="T524" s="59" t="s">
        <v>1656</v>
      </c>
      <c r="U524" s="42"/>
      <c r="V524" s="42"/>
      <c r="W524" s="42"/>
      <c r="X524" s="42" t="s">
        <v>175</v>
      </c>
      <c r="Y524" s="42"/>
      <c r="Z524" s="42"/>
      <c r="AA524" s="42"/>
      <c r="AB524" s="42" t="s">
        <v>1563</v>
      </c>
      <c r="AC524" s="42" t="s">
        <v>769</v>
      </c>
      <c r="AD524" s="153" t="str">
        <f t="shared" si="176"/>
        <v>Mixed</v>
      </c>
      <c r="AE524" s="42" t="s">
        <v>277</v>
      </c>
      <c r="AF524" s="42"/>
      <c r="AG524" s="42" t="s">
        <v>520</v>
      </c>
      <c r="AH524" s="42" t="s">
        <v>520</v>
      </c>
      <c r="AI524" s="42" t="s">
        <v>230</v>
      </c>
      <c r="AJ524" s="42"/>
      <c r="AK524" s="42"/>
      <c r="AL524" s="42"/>
      <c r="AM524" s="42" t="s">
        <v>521</v>
      </c>
      <c r="AN524" s="42" t="s">
        <v>521</v>
      </c>
      <c r="AO524" s="42" t="s">
        <v>230</v>
      </c>
      <c r="AP524" s="42" t="s">
        <v>208</v>
      </c>
      <c r="AQ524" s="42">
        <v>4</v>
      </c>
      <c r="AR524" s="42">
        <v>4</v>
      </c>
      <c r="AS524" s="42" t="s">
        <v>404</v>
      </c>
      <c r="AT524" s="42"/>
      <c r="AW524" s="64"/>
      <c r="BB524" s="5">
        <v>4914</v>
      </c>
      <c r="BC524" s="5">
        <v>4623</v>
      </c>
      <c r="DM524" s="5">
        <v>237.5</v>
      </c>
      <c r="DN524" s="5">
        <v>233.61</v>
      </c>
      <c r="DS524" s="12"/>
      <c r="DU524" s="15"/>
      <c r="EW524" s="42"/>
      <c r="EX524" s="42"/>
      <c r="EY524" s="42"/>
      <c r="EZ524" s="42"/>
      <c r="FC524" s="42">
        <v>27</v>
      </c>
    </row>
    <row r="525" spans="1:159" s="5" customFormat="1" x14ac:dyDescent="0.25">
      <c r="A525" s="42">
        <v>27</v>
      </c>
      <c r="B525" s="42" t="s">
        <v>515</v>
      </c>
      <c r="C525" s="42" t="s">
        <v>516</v>
      </c>
      <c r="D525" s="42">
        <v>2017</v>
      </c>
      <c r="E525" s="42">
        <v>2008</v>
      </c>
      <c r="F525" s="42" t="s">
        <v>517</v>
      </c>
      <c r="G525" s="42" t="s">
        <v>518</v>
      </c>
      <c r="H525" s="42">
        <f t="shared" si="189"/>
        <v>42.866666666666667</v>
      </c>
      <c r="I525" s="42">
        <f t="shared" si="190"/>
        <v>-76.55</v>
      </c>
      <c r="J525" s="42">
        <v>255.8</v>
      </c>
      <c r="K525" s="42"/>
      <c r="L525" s="42"/>
      <c r="M525" s="42"/>
      <c r="N525" s="42">
        <v>979</v>
      </c>
      <c r="O525" s="42"/>
      <c r="P525" s="59" t="s">
        <v>183</v>
      </c>
      <c r="Q525" s="59"/>
      <c r="R525" s="59" t="s">
        <v>519</v>
      </c>
      <c r="S525" s="59" t="s">
        <v>1656</v>
      </c>
      <c r="T525" s="59" t="s">
        <v>1656</v>
      </c>
      <c r="U525" s="42"/>
      <c r="V525" s="42"/>
      <c r="W525" s="42"/>
      <c r="X525" s="42" t="s">
        <v>175</v>
      </c>
      <c r="Y525" s="42"/>
      <c r="Z525" s="42"/>
      <c r="AA525" s="42"/>
      <c r="AB525" s="42" t="s">
        <v>1563</v>
      </c>
      <c r="AC525" s="42" t="s">
        <v>769</v>
      </c>
      <c r="AD525" s="153" t="str">
        <f t="shared" si="176"/>
        <v>Mixed</v>
      </c>
      <c r="AE525" s="42" t="s">
        <v>277</v>
      </c>
      <c r="AF525" s="42"/>
      <c r="AG525" s="42" t="s">
        <v>520</v>
      </c>
      <c r="AH525" s="42" t="s">
        <v>520</v>
      </c>
      <c r="AI525" s="42" t="s">
        <v>230</v>
      </c>
      <c r="AJ525" s="42"/>
      <c r="AK525" s="42"/>
      <c r="AL525" s="42"/>
      <c r="AM525" s="42" t="s">
        <v>521</v>
      </c>
      <c r="AN525" s="42" t="s">
        <v>521</v>
      </c>
      <c r="AO525" s="42" t="s">
        <v>230</v>
      </c>
      <c r="AP525" s="42" t="s">
        <v>208</v>
      </c>
      <c r="AQ525" s="42">
        <v>4</v>
      </c>
      <c r="AR525" s="42">
        <v>4</v>
      </c>
      <c r="AS525" s="42" t="s">
        <v>404</v>
      </c>
      <c r="AT525" s="42"/>
      <c r="AW525" s="64"/>
      <c r="BB525" s="5">
        <v>4914</v>
      </c>
      <c r="BC525" s="5">
        <v>5501</v>
      </c>
      <c r="DM525" s="5">
        <v>237.5</v>
      </c>
      <c r="DN525" s="5">
        <v>54.49</v>
      </c>
      <c r="DS525" s="12"/>
      <c r="DU525" s="15"/>
      <c r="EW525" s="42"/>
      <c r="EX525" s="42"/>
      <c r="EY525" s="42"/>
      <c r="EZ525" s="42"/>
      <c r="FC525" s="42">
        <v>27</v>
      </c>
    </row>
    <row r="526" spans="1:159" s="5" customFormat="1" x14ac:dyDescent="0.25">
      <c r="A526" s="42">
        <v>27</v>
      </c>
      <c r="B526" s="42" t="s">
        <v>515</v>
      </c>
      <c r="C526" s="42" t="s">
        <v>516</v>
      </c>
      <c r="D526" s="42">
        <v>2017</v>
      </c>
      <c r="E526" s="42">
        <v>2008</v>
      </c>
      <c r="F526" s="42" t="s">
        <v>517</v>
      </c>
      <c r="G526" s="42" t="s">
        <v>518</v>
      </c>
      <c r="H526" s="42">
        <f t="shared" si="189"/>
        <v>42.866666666666667</v>
      </c>
      <c r="I526" s="42">
        <f t="shared" si="190"/>
        <v>-76.55</v>
      </c>
      <c r="J526" s="42">
        <v>255.8</v>
      </c>
      <c r="K526" s="42"/>
      <c r="L526" s="42"/>
      <c r="M526" s="42"/>
      <c r="N526" s="42">
        <v>979</v>
      </c>
      <c r="O526" s="42"/>
      <c r="P526" s="59" t="s">
        <v>183</v>
      </c>
      <c r="Q526" s="59"/>
      <c r="R526" s="59" t="s">
        <v>519</v>
      </c>
      <c r="S526" s="59" t="s">
        <v>1656</v>
      </c>
      <c r="T526" s="59" t="s">
        <v>1656</v>
      </c>
      <c r="U526" s="42"/>
      <c r="V526" s="42"/>
      <c r="W526" s="42"/>
      <c r="X526" s="42" t="s">
        <v>175</v>
      </c>
      <c r="Y526" s="42"/>
      <c r="Z526" s="42"/>
      <c r="AA526" s="42"/>
      <c r="AB526" s="42" t="s">
        <v>1563</v>
      </c>
      <c r="AC526" s="42" t="s">
        <v>769</v>
      </c>
      <c r="AD526" s="153" t="str">
        <f t="shared" si="176"/>
        <v>Mixed</v>
      </c>
      <c r="AE526" s="42" t="s">
        <v>277</v>
      </c>
      <c r="AF526" s="42"/>
      <c r="AG526" s="42" t="s">
        <v>520</v>
      </c>
      <c r="AH526" s="42" t="s">
        <v>520</v>
      </c>
      <c r="AI526" s="42" t="s">
        <v>230</v>
      </c>
      <c r="AJ526" s="42"/>
      <c r="AK526" s="42"/>
      <c r="AL526" s="42"/>
      <c r="AM526" s="42" t="s">
        <v>521</v>
      </c>
      <c r="AN526" s="42" t="s">
        <v>521</v>
      </c>
      <c r="AO526" s="42" t="s">
        <v>230</v>
      </c>
      <c r="AP526" s="42" t="s">
        <v>208</v>
      </c>
      <c r="AQ526" s="42">
        <v>4</v>
      </c>
      <c r="AR526" s="42">
        <v>4</v>
      </c>
      <c r="AS526" s="42" t="s">
        <v>404</v>
      </c>
      <c r="AT526" s="42"/>
      <c r="AW526" s="64"/>
      <c r="BB526" s="5">
        <v>4914</v>
      </c>
      <c r="BC526" s="5">
        <v>4918</v>
      </c>
      <c r="DM526" s="5">
        <v>237.5</v>
      </c>
      <c r="DN526" s="5">
        <v>216.05</v>
      </c>
      <c r="DS526" s="12"/>
      <c r="DU526" s="15"/>
      <c r="EW526" s="42"/>
      <c r="EX526" s="42"/>
      <c r="EY526" s="42"/>
      <c r="EZ526" s="42"/>
      <c r="FC526" s="42">
        <v>27</v>
      </c>
    </row>
    <row r="527" spans="1:159" s="38" customFormat="1" x14ac:dyDescent="0.25">
      <c r="A527" s="38">
        <v>28</v>
      </c>
      <c r="B527" s="38" t="s">
        <v>522</v>
      </c>
      <c r="C527" s="38" t="s">
        <v>523</v>
      </c>
      <c r="D527" s="38">
        <v>2007</v>
      </c>
      <c r="E527" s="38">
        <v>2005</v>
      </c>
      <c r="F527" s="38" t="s">
        <v>524</v>
      </c>
      <c r="G527" s="38" t="s">
        <v>525</v>
      </c>
      <c r="H527" s="38">
        <f>39+13/60</f>
        <v>39.216666666666669</v>
      </c>
      <c r="I527" s="38">
        <f>-92-7/60</f>
        <v>-92.11666666666666</v>
      </c>
      <c r="J527" s="38">
        <v>262.2</v>
      </c>
      <c r="P527" s="57" t="s">
        <v>179</v>
      </c>
      <c r="Q527" s="57"/>
      <c r="R527" s="57" t="s">
        <v>257</v>
      </c>
      <c r="S527" s="57" t="s">
        <v>1653</v>
      </c>
      <c r="T527" s="57" t="s">
        <v>1654</v>
      </c>
      <c r="U527" s="38">
        <v>1.28</v>
      </c>
      <c r="V527" s="38">
        <f>100-W527-(21.3+45.5+49.9+24.8+54.6+42.9+23+38.3+39.7)/9</f>
        <v>5.2555555555555529</v>
      </c>
      <c r="W527" s="38">
        <f>(70.3+50.2+49+65.8+42.8+55.3+69.2+55.7+54.4)/9</f>
        <v>56.966666666666669</v>
      </c>
      <c r="X527" s="38" t="s">
        <v>526</v>
      </c>
      <c r="Y527" s="38">
        <f>(5.9+5+5+6.1+4.9+5.1+5.9+5.1+5.1)/9</f>
        <v>5.344444444444445</v>
      </c>
      <c r="Z527" s="38">
        <f>(1+0.9+0.7+1+0.9+0.4+1+0.9+0.5)/9</f>
        <v>0.81111111111111123</v>
      </c>
      <c r="AB527" s="38" t="s">
        <v>1564</v>
      </c>
      <c r="AC527" s="38" t="s">
        <v>1818</v>
      </c>
      <c r="AD527" s="153" t="str">
        <f t="shared" si="176"/>
        <v>Red_colver</v>
      </c>
      <c r="AE527" s="38" t="s">
        <v>1634</v>
      </c>
      <c r="AG527" s="38" t="s">
        <v>527</v>
      </c>
      <c r="AH527" s="38" t="s">
        <v>527</v>
      </c>
      <c r="AI527" s="38" t="s">
        <v>230</v>
      </c>
      <c r="AJ527" s="38" t="s">
        <v>528</v>
      </c>
      <c r="AK527" s="38" t="s">
        <v>203</v>
      </c>
      <c r="AL527" s="38" t="s">
        <v>618</v>
      </c>
      <c r="AM527" s="38" t="s">
        <v>530</v>
      </c>
      <c r="AN527" s="38" t="s">
        <v>529</v>
      </c>
      <c r="AO527" s="38" t="s">
        <v>618</v>
      </c>
      <c r="AP527" s="38" t="s">
        <v>208</v>
      </c>
      <c r="AQ527" s="38">
        <v>3</v>
      </c>
      <c r="AR527" s="38">
        <v>3</v>
      </c>
      <c r="AS527" s="38" t="s">
        <v>404</v>
      </c>
      <c r="AW527" s="64"/>
      <c r="BE527" s="38">
        <v>1.24</v>
      </c>
      <c r="BF527" s="38">
        <v>1.24</v>
      </c>
      <c r="CI527" s="38">
        <v>0.03</v>
      </c>
      <c r="CJ527" s="38">
        <v>2.8000000000000001E-2</v>
      </c>
      <c r="CK527" s="38" t="s">
        <v>532</v>
      </c>
      <c r="CR527" s="38">
        <f>10^(1.0005)</f>
        <v>10.011519555381691</v>
      </c>
      <c r="CS527" s="38">
        <f>10^1.3276</f>
        <v>21.261798598625219</v>
      </c>
      <c r="DG527" s="38">
        <v>0.4743</v>
      </c>
      <c r="DH527" s="38">
        <v>0.4919</v>
      </c>
      <c r="DI527" s="38" t="s">
        <v>531</v>
      </c>
      <c r="DJ527" s="38">
        <v>0.30649999999999999</v>
      </c>
      <c r="DK527" s="38">
        <v>0.32500000000000001</v>
      </c>
      <c r="DL527" s="38" t="s">
        <v>533</v>
      </c>
      <c r="DS527" s="12"/>
      <c r="DU527" s="15"/>
      <c r="FA527" s="38" t="s">
        <v>1053</v>
      </c>
      <c r="FC527" s="38">
        <v>28</v>
      </c>
    </row>
    <row r="528" spans="1:159" s="38" customFormat="1" x14ac:dyDescent="0.25">
      <c r="A528" s="38">
        <v>28</v>
      </c>
      <c r="B528" s="38" t="s">
        <v>522</v>
      </c>
      <c r="C528" s="38" t="s">
        <v>523</v>
      </c>
      <c r="D528" s="38">
        <v>2007</v>
      </c>
      <c r="E528" s="38">
        <v>2005</v>
      </c>
      <c r="F528" s="38" t="s">
        <v>524</v>
      </c>
      <c r="G528" s="38" t="s">
        <v>525</v>
      </c>
      <c r="H528" s="38">
        <f>39+13/60</f>
        <v>39.216666666666669</v>
      </c>
      <c r="I528" s="38">
        <f>-92-7/60</f>
        <v>-92.11666666666666</v>
      </c>
      <c r="J528" s="38">
        <v>262.2</v>
      </c>
      <c r="P528" s="57" t="s">
        <v>179</v>
      </c>
      <c r="Q528" s="57"/>
      <c r="R528" s="57" t="s">
        <v>257</v>
      </c>
      <c r="S528" s="57" t="s">
        <v>1657</v>
      </c>
      <c r="T528" s="57" t="s">
        <v>1654</v>
      </c>
      <c r="U528" s="38">
        <v>1.28</v>
      </c>
      <c r="V528" s="38">
        <f>100-W528-(21.3+45.5+49.9+24.8+54.6+42.9+23+38.3+39.7)/9</f>
        <v>5.2555555555555529</v>
      </c>
      <c r="W528" s="38">
        <f>(70.3+50.2+49+65.8+42.8+55.3+69.2+55.7+54.4)/9</f>
        <v>56.966666666666669</v>
      </c>
      <c r="X528" s="38" t="s">
        <v>526</v>
      </c>
      <c r="Y528" s="38">
        <f>(5.9+5+5+6.1+4.9+5.1+5.9+5.1+5.1)/9</f>
        <v>5.344444444444445</v>
      </c>
      <c r="Z528" s="38">
        <f t="shared" ref="Z528:Z529" si="192">(1+0.9+0.7+1+0.9+0.4+1+0.9+0.5)/9</f>
        <v>0.81111111111111123</v>
      </c>
      <c r="AB528" s="38" t="s">
        <v>1564</v>
      </c>
      <c r="AC528" s="38" t="s">
        <v>1818</v>
      </c>
      <c r="AD528" s="153" t="str">
        <f t="shared" si="176"/>
        <v>Red_colver</v>
      </c>
      <c r="AE528" s="38" t="s">
        <v>1634</v>
      </c>
      <c r="AG528" s="38" t="s">
        <v>527</v>
      </c>
      <c r="AH528" s="38" t="s">
        <v>527</v>
      </c>
      <c r="AI528" s="38" t="s">
        <v>230</v>
      </c>
      <c r="AJ528" s="38" t="s">
        <v>528</v>
      </c>
      <c r="AK528" s="38" t="s">
        <v>203</v>
      </c>
      <c r="AL528" s="38" t="s">
        <v>618</v>
      </c>
      <c r="AM528" s="38" t="s">
        <v>530</v>
      </c>
      <c r="AN528" s="38" t="s">
        <v>529</v>
      </c>
      <c r="AO528" s="38" t="s">
        <v>618</v>
      </c>
      <c r="AP528" s="38" t="s">
        <v>208</v>
      </c>
      <c r="AQ528" s="38">
        <v>3</v>
      </c>
      <c r="AR528" s="38">
        <v>3</v>
      </c>
      <c r="AS528" s="38" t="s">
        <v>404</v>
      </c>
      <c r="AW528" s="64"/>
      <c r="BE528" s="38">
        <v>1.36</v>
      </c>
      <c r="BF528" s="38">
        <v>1.38</v>
      </c>
      <c r="CI528" s="38">
        <v>2.8000000000000001E-2</v>
      </c>
      <c r="CJ528" s="38">
        <v>2.5999999999999999E-2</v>
      </c>
      <c r="CK528" s="38" t="s">
        <v>532</v>
      </c>
      <c r="CR528" s="38">
        <f>10^0.7856</f>
        <v>6.1037958555853074</v>
      </c>
      <c r="CS528" s="38">
        <f>10^1.2941</f>
        <v>19.683394644420513</v>
      </c>
      <c r="DG528" s="38">
        <v>0.4672</v>
      </c>
      <c r="DH528" s="38">
        <v>0.47420000000000001</v>
      </c>
      <c r="DI528" s="38" t="s">
        <v>531</v>
      </c>
      <c r="DJ528" s="38">
        <v>0.35539999999999999</v>
      </c>
      <c r="DK528" s="38">
        <v>0.35539999999999999</v>
      </c>
      <c r="DL528" s="38" t="s">
        <v>533</v>
      </c>
      <c r="DS528" s="12"/>
      <c r="DU528" s="15"/>
      <c r="FA528" s="38" t="s">
        <v>1053</v>
      </c>
      <c r="FC528" s="38">
        <v>28</v>
      </c>
    </row>
    <row r="529" spans="1:159" s="38" customFormat="1" x14ac:dyDescent="0.25">
      <c r="A529" s="38">
        <v>28</v>
      </c>
      <c r="B529" s="38" t="s">
        <v>522</v>
      </c>
      <c r="C529" s="38" t="s">
        <v>523</v>
      </c>
      <c r="D529" s="38">
        <v>2007</v>
      </c>
      <c r="E529" s="38">
        <v>2005</v>
      </c>
      <c r="F529" s="38" t="s">
        <v>524</v>
      </c>
      <c r="G529" s="38" t="s">
        <v>525</v>
      </c>
      <c r="H529" s="38">
        <f>39+13/60</f>
        <v>39.216666666666669</v>
      </c>
      <c r="I529" s="38">
        <f>-92-7/60</f>
        <v>-92.11666666666666</v>
      </c>
      <c r="J529" s="38">
        <v>262.2</v>
      </c>
      <c r="P529" s="57" t="s">
        <v>179</v>
      </c>
      <c r="Q529" s="57"/>
      <c r="R529" s="57" t="s">
        <v>257</v>
      </c>
      <c r="S529" s="57" t="s">
        <v>1658</v>
      </c>
      <c r="T529" s="57" t="s">
        <v>1654</v>
      </c>
      <c r="U529" s="38">
        <v>1.28</v>
      </c>
      <c r="V529" s="38">
        <f>100-W529-(21.3+45.5+49.9+24.8+54.6+42.9+23+38.3+39.7)/9</f>
        <v>5.2555555555555529</v>
      </c>
      <c r="W529" s="38">
        <f>(70.3+50.2+49+65.8+42.8+55.3+69.2+55.7+54.4)/9</f>
        <v>56.966666666666669</v>
      </c>
      <c r="X529" s="38" t="s">
        <v>526</v>
      </c>
      <c r="Y529" s="38">
        <f>(5.9+5+5+6.1+4.9+5.1+5.9+5.1+5.1)/9</f>
        <v>5.344444444444445</v>
      </c>
      <c r="Z529" s="38">
        <f t="shared" si="192"/>
        <v>0.81111111111111123</v>
      </c>
      <c r="AB529" s="38" t="s">
        <v>1564</v>
      </c>
      <c r="AC529" s="38" t="s">
        <v>1818</v>
      </c>
      <c r="AD529" s="153" t="str">
        <f t="shared" si="176"/>
        <v>Red_colver</v>
      </c>
      <c r="AE529" s="38" t="s">
        <v>1634</v>
      </c>
      <c r="AG529" s="38" t="s">
        <v>527</v>
      </c>
      <c r="AH529" s="38" t="s">
        <v>527</v>
      </c>
      <c r="AI529" s="38" t="s">
        <v>230</v>
      </c>
      <c r="AJ529" s="38" t="s">
        <v>528</v>
      </c>
      <c r="AK529" s="38" t="s">
        <v>203</v>
      </c>
      <c r="AL529" s="38" t="s">
        <v>618</v>
      </c>
      <c r="AM529" s="38" t="s">
        <v>530</v>
      </c>
      <c r="AN529" s="38" t="s">
        <v>529</v>
      </c>
      <c r="AO529" s="38" t="s">
        <v>618</v>
      </c>
      <c r="AP529" s="38" t="s">
        <v>208</v>
      </c>
      <c r="AQ529" s="38">
        <v>3</v>
      </c>
      <c r="AR529" s="38">
        <v>3</v>
      </c>
      <c r="AS529" s="38" t="s">
        <v>404</v>
      </c>
      <c r="AW529" s="64"/>
      <c r="BE529" s="38">
        <v>1.22</v>
      </c>
      <c r="BF529" s="38">
        <v>1.25</v>
      </c>
      <c r="CI529" s="38">
        <v>2.8000000000000001E-2</v>
      </c>
      <c r="CJ529" s="38">
        <v>1.9E-2</v>
      </c>
      <c r="CK529" s="38" t="s">
        <v>532</v>
      </c>
      <c r="CR529" s="38">
        <f>10^0.0959</f>
        <v>1.2470963266393924</v>
      </c>
      <c r="CS529" s="38">
        <f>10^0.5215</f>
        <v>3.3227678521107569</v>
      </c>
      <c r="DG529" s="38">
        <v>0.53639999999999999</v>
      </c>
      <c r="DH529" s="38">
        <v>0.51890000000000003</v>
      </c>
      <c r="DI529" s="38" t="s">
        <v>531</v>
      </c>
      <c r="DJ529" s="38">
        <v>0.39579999999999999</v>
      </c>
      <c r="DK529" s="38">
        <v>0.38900000000000001</v>
      </c>
      <c r="DL529" s="38" t="s">
        <v>533</v>
      </c>
      <c r="DS529" s="12"/>
      <c r="DU529" s="15"/>
      <c r="FA529" s="38" t="s">
        <v>1053</v>
      </c>
      <c r="FC529" s="38">
        <v>28</v>
      </c>
    </row>
    <row r="530" spans="1:159" s="39" customFormat="1" x14ac:dyDescent="0.25">
      <c r="A530" s="39">
        <v>29</v>
      </c>
      <c r="B530" s="39" t="s">
        <v>1240</v>
      </c>
      <c r="C530" s="39" t="s">
        <v>534</v>
      </c>
      <c r="D530" s="39">
        <v>2009</v>
      </c>
      <c r="E530" s="39">
        <v>2006</v>
      </c>
      <c r="F530" s="39" t="s">
        <v>363</v>
      </c>
      <c r="G530" s="39" t="s">
        <v>535</v>
      </c>
      <c r="H530" s="39">
        <f t="shared" ref="H530:H565" si="193">43+20/60</f>
        <v>43.333333333333336</v>
      </c>
      <c r="I530" s="39">
        <f t="shared" ref="I530:I565" si="194">-89-43/60</f>
        <v>-89.716666666666669</v>
      </c>
      <c r="J530" s="39">
        <v>250</v>
      </c>
      <c r="P530" s="58" t="s">
        <v>182</v>
      </c>
      <c r="Q530" s="58"/>
      <c r="R530" s="58"/>
      <c r="S530" s="58" t="s">
        <v>1659</v>
      </c>
      <c r="T530" s="58" t="s">
        <v>1654</v>
      </c>
      <c r="U530" s="39">
        <f t="shared" ref="U530:U565" si="195">(1.4+1.46+1.41+1.37+1.39+1.47+1.42)/7</f>
        <v>1.417142857142857</v>
      </c>
      <c r="X530" s="39" t="s">
        <v>168</v>
      </c>
      <c r="Y530" s="39">
        <f t="shared" ref="Y530:Y565" si="196">(6.6+6.9+7+6.8+7.1+6.7+7)/7</f>
        <v>6.8714285714285719</v>
      </c>
      <c r="AB530" s="39" t="s">
        <v>1565</v>
      </c>
      <c r="AC530" s="39" t="s">
        <v>1819</v>
      </c>
      <c r="AD530" s="153" t="str">
        <f t="shared" si="176"/>
        <v>Kura_clover</v>
      </c>
      <c r="AE530" s="39" t="s">
        <v>536</v>
      </c>
      <c r="AG530" s="39" t="s">
        <v>527</v>
      </c>
      <c r="AH530" s="39" t="s">
        <v>527</v>
      </c>
      <c r="AI530" s="39" t="s">
        <v>230</v>
      </c>
      <c r="AM530" s="39" t="s">
        <v>544</v>
      </c>
      <c r="AN530" s="39" t="s">
        <v>544</v>
      </c>
      <c r="AP530" s="39" t="s">
        <v>537</v>
      </c>
      <c r="AQ530" s="39">
        <v>4</v>
      </c>
      <c r="AR530" s="39">
        <v>4</v>
      </c>
      <c r="AS530" s="39" t="s">
        <v>177</v>
      </c>
      <c r="AW530" s="63"/>
      <c r="BE530" s="39">
        <v>1.47</v>
      </c>
      <c r="BF530" s="39">
        <v>1.4</v>
      </c>
      <c r="BH530" s="39">
        <v>3.63</v>
      </c>
      <c r="BI530" s="39">
        <v>4.2299999999999995</v>
      </c>
      <c r="BJ530" s="39" t="s">
        <v>1106</v>
      </c>
      <c r="BN530" s="39">
        <v>45.8</v>
      </c>
      <c r="BO530" s="39">
        <v>37.799999999999997</v>
      </c>
      <c r="BQ530" s="39">
        <v>244</v>
      </c>
      <c r="BR530" s="39">
        <v>204</v>
      </c>
      <c r="BT530" s="39">
        <v>6.7</v>
      </c>
      <c r="BU530" s="39">
        <v>6.6</v>
      </c>
      <c r="CF530" s="39">
        <v>336</v>
      </c>
      <c r="CG530" s="39">
        <v>365</v>
      </c>
      <c r="CH530" s="39" t="s">
        <v>540</v>
      </c>
      <c r="CL530" s="39">
        <v>0.52980000000000005</v>
      </c>
      <c r="CM530" s="39">
        <v>0.61539999999999995</v>
      </c>
      <c r="CN530" s="39" t="s">
        <v>1050</v>
      </c>
      <c r="DG530" s="39">
        <v>0.21</v>
      </c>
      <c r="DH530" s="39">
        <v>0.26800000000000002</v>
      </c>
      <c r="DS530" s="12"/>
      <c r="DU530" s="15"/>
      <c r="DV530" s="39">
        <v>1288</v>
      </c>
      <c r="DW530" s="39">
        <v>1376</v>
      </c>
      <c r="DX530" s="39" t="s">
        <v>539</v>
      </c>
      <c r="EQ530" s="39">
        <f>40.3*0.012</f>
        <v>0.48359999999999997</v>
      </c>
      <c r="ER530" s="39">
        <f>87.1*0.012</f>
        <v>1.0451999999999999</v>
      </c>
      <c r="ES530" s="39" t="s">
        <v>1187</v>
      </c>
      <c r="EX530" s="39">
        <v>99999</v>
      </c>
      <c r="FA530" s="39" t="s">
        <v>542</v>
      </c>
      <c r="FB530" s="39" t="s">
        <v>1049</v>
      </c>
      <c r="FC530" s="39">
        <v>29</v>
      </c>
    </row>
    <row r="531" spans="1:159" s="39" customFormat="1" x14ac:dyDescent="0.25">
      <c r="A531" s="39">
        <v>29</v>
      </c>
      <c r="B531" s="39" t="s">
        <v>1240</v>
      </c>
      <c r="C531" s="39" t="s">
        <v>534</v>
      </c>
      <c r="D531" s="39">
        <v>2009</v>
      </c>
      <c r="E531" s="39">
        <v>2006</v>
      </c>
      <c r="F531" s="39" t="s">
        <v>363</v>
      </c>
      <c r="G531" s="39" t="s">
        <v>535</v>
      </c>
      <c r="H531" s="39">
        <f t="shared" si="193"/>
        <v>43.333333333333336</v>
      </c>
      <c r="I531" s="39">
        <f t="shared" si="194"/>
        <v>-89.716666666666669</v>
      </c>
      <c r="J531" s="39">
        <v>250</v>
      </c>
      <c r="P531" s="58" t="s">
        <v>182</v>
      </c>
      <c r="Q531" s="58"/>
      <c r="R531" s="58"/>
      <c r="S531" s="58" t="s">
        <v>1659</v>
      </c>
      <c r="T531" s="58" t="s">
        <v>1654</v>
      </c>
      <c r="U531" s="39">
        <f t="shared" si="195"/>
        <v>1.417142857142857</v>
      </c>
      <c r="X531" s="39" t="s">
        <v>168</v>
      </c>
      <c r="Y531" s="39">
        <f t="shared" si="196"/>
        <v>6.8714285714285719</v>
      </c>
      <c r="AB531" s="39" t="s">
        <v>1565</v>
      </c>
      <c r="AC531" s="39" t="s">
        <v>1819</v>
      </c>
      <c r="AD531" s="153" t="str">
        <f t="shared" si="176"/>
        <v>Kura_clover</v>
      </c>
      <c r="AE531" s="39" t="s">
        <v>167</v>
      </c>
      <c r="AG531" s="39" t="s">
        <v>527</v>
      </c>
      <c r="AH531" s="39" t="s">
        <v>527</v>
      </c>
      <c r="AI531" s="39" t="s">
        <v>230</v>
      </c>
      <c r="AM531" s="39" t="s">
        <v>544</v>
      </c>
      <c r="AN531" s="39" t="s">
        <v>544</v>
      </c>
      <c r="AP531" s="39" t="s">
        <v>537</v>
      </c>
      <c r="AQ531" s="39">
        <v>4</v>
      </c>
      <c r="AR531" s="39">
        <v>4</v>
      </c>
      <c r="AS531" s="39" t="s">
        <v>177</v>
      </c>
      <c r="AW531" s="63"/>
      <c r="BE531" s="39">
        <v>1.47</v>
      </c>
      <c r="BF531" s="39">
        <v>1.4</v>
      </c>
      <c r="BH531" s="39">
        <v>3.63</v>
      </c>
      <c r="BI531" s="39">
        <v>4.2799999999999994</v>
      </c>
      <c r="BJ531" s="39" t="s">
        <v>1106</v>
      </c>
      <c r="BN531" s="39">
        <v>45.8</v>
      </c>
      <c r="BO531" s="39">
        <v>42.3</v>
      </c>
      <c r="BQ531" s="39">
        <v>244</v>
      </c>
      <c r="BR531" s="39">
        <v>269</v>
      </c>
      <c r="BT531" s="39">
        <v>6.7</v>
      </c>
      <c r="BU531" s="39">
        <v>6.9</v>
      </c>
      <c r="CF531" s="39">
        <v>336</v>
      </c>
      <c r="CG531" s="39">
        <v>385</v>
      </c>
      <c r="CH531" s="39" t="s">
        <v>540</v>
      </c>
      <c r="CL531" s="39">
        <v>0.52980000000000005</v>
      </c>
      <c r="CM531" s="39">
        <v>0.6</v>
      </c>
      <c r="CN531" s="39" t="s">
        <v>1050</v>
      </c>
      <c r="DG531" s="39">
        <v>0.21</v>
      </c>
      <c r="DH531" s="39">
        <v>0.24399999999999999</v>
      </c>
      <c r="DS531" s="12"/>
      <c r="DU531" s="15"/>
      <c r="DV531" s="39">
        <v>1288</v>
      </c>
      <c r="DW531" s="39">
        <v>1379</v>
      </c>
      <c r="DX531" s="39" t="s">
        <v>539</v>
      </c>
      <c r="EQ531" s="39">
        <f t="shared" ref="EQ531:EQ535" si="197">40.3*0.012</f>
        <v>0.48359999999999997</v>
      </c>
      <c r="ER531" s="39">
        <f>108.2*0.012</f>
        <v>1.2984</v>
      </c>
      <c r="ES531" s="39" t="s">
        <v>1187</v>
      </c>
      <c r="EX531" s="39">
        <v>99999</v>
      </c>
      <c r="FA531" s="39" t="s">
        <v>542</v>
      </c>
      <c r="FB531" s="39" t="s">
        <v>1049</v>
      </c>
      <c r="FC531" s="39">
        <v>29</v>
      </c>
    </row>
    <row r="532" spans="1:159" s="39" customFormat="1" x14ac:dyDescent="0.25">
      <c r="A532" s="39">
        <v>29</v>
      </c>
      <c r="B532" s="39" t="s">
        <v>1240</v>
      </c>
      <c r="C532" s="39" t="s">
        <v>534</v>
      </c>
      <c r="D532" s="39">
        <v>2009</v>
      </c>
      <c r="E532" s="39">
        <v>2006</v>
      </c>
      <c r="F532" s="39" t="s">
        <v>363</v>
      </c>
      <c r="G532" s="39" t="s">
        <v>535</v>
      </c>
      <c r="H532" s="39">
        <f t="shared" si="193"/>
        <v>43.333333333333336</v>
      </c>
      <c r="I532" s="39">
        <f t="shared" si="194"/>
        <v>-89.716666666666669</v>
      </c>
      <c r="J532" s="39">
        <v>250</v>
      </c>
      <c r="P532" s="58" t="s">
        <v>182</v>
      </c>
      <c r="Q532" s="58"/>
      <c r="R532" s="58"/>
      <c r="S532" s="58" t="s">
        <v>1659</v>
      </c>
      <c r="T532" s="58" t="s">
        <v>1654</v>
      </c>
      <c r="U532" s="39">
        <f t="shared" si="195"/>
        <v>1.417142857142857</v>
      </c>
      <c r="X532" s="39" t="s">
        <v>168</v>
      </c>
      <c r="Y532" s="39">
        <f t="shared" si="196"/>
        <v>6.8714285714285719</v>
      </c>
      <c r="AB532" s="39" t="s">
        <v>1565</v>
      </c>
      <c r="AC532" s="39" t="s">
        <v>1799</v>
      </c>
      <c r="AD532" s="153" t="str">
        <f t="shared" si="176"/>
        <v>Red_clover</v>
      </c>
      <c r="AE532" s="39" t="s">
        <v>536</v>
      </c>
      <c r="AG532" s="39" t="s">
        <v>527</v>
      </c>
      <c r="AH532" s="39" t="s">
        <v>527</v>
      </c>
      <c r="AI532" s="39" t="s">
        <v>230</v>
      </c>
      <c r="AM532" s="39" t="s">
        <v>544</v>
      </c>
      <c r="AN532" s="39" t="s">
        <v>544</v>
      </c>
      <c r="AP532" s="39" t="s">
        <v>537</v>
      </c>
      <c r="AQ532" s="39">
        <v>4</v>
      </c>
      <c r="AR532" s="39">
        <v>4</v>
      </c>
      <c r="AS532" s="39" t="s">
        <v>177</v>
      </c>
      <c r="AW532" s="63"/>
      <c r="BE532" s="39">
        <v>1.47</v>
      </c>
      <c r="BF532" s="39">
        <v>1.46</v>
      </c>
      <c r="BH532" s="39">
        <v>3.63</v>
      </c>
      <c r="BI532" s="39">
        <v>3.8299999999999996</v>
      </c>
      <c r="BJ532" s="39" t="s">
        <v>1106</v>
      </c>
      <c r="BN532" s="39">
        <v>45.8</v>
      </c>
      <c r="BO532" s="39">
        <v>37.299999999999997</v>
      </c>
      <c r="BQ532" s="39">
        <v>244</v>
      </c>
      <c r="BR532" s="39">
        <v>161</v>
      </c>
      <c r="BT532" s="39">
        <v>6.7</v>
      </c>
      <c r="BU532" s="39">
        <v>6.6</v>
      </c>
      <c r="CF532" s="39">
        <v>336</v>
      </c>
      <c r="CG532" s="39">
        <v>337</v>
      </c>
      <c r="CH532" s="39" t="s">
        <v>540</v>
      </c>
      <c r="CL532" s="39">
        <v>0.52980000000000005</v>
      </c>
      <c r="CM532" s="39">
        <v>0.63</v>
      </c>
      <c r="CN532" s="39" t="s">
        <v>1050</v>
      </c>
      <c r="DG532" s="39">
        <v>0.21</v>
      </c>
      <c r="DH532" s="39">
        <v>0.23799999999999999</v>
      </c>
      <c r="DS532" s="12"/>
      <c r="DU532" s="15"/>
      <c r="DV532" s="39">
        <v>1288</v>
      </c>
      <c r="DW532" s="39">
        <v>1336</v>
      </c>
      <c r="DX532" s="39" t="s">
        <v>539</v>
      </c>
      <c r="EQ532" s="39">
        <f t="shared" si="197"/>
        <v>0.48359999999999997</v>
      </c>
      <c r="ER532" s="39">
        <f>105*0.012</f>
        <v>1.26</v>
      </c>
      <c r="ES532" s="39" t="s">
        <v>1187</v>
      </c>
      <c r="EX532" s="39">
        <v>99999</v>
      </c>
      <c r="FA532" s="39" t="s">
        <v>542</v>
      </c>
      <c r="FB532" s="39" t="s">
        <v>1049</v>
      </c>
      <c r="FC532" s="39">
        <v>29</v>
      </c>
    </row>
    <row r="533" spans="1:159" s="39" customFormat="1" x14ac:dyDescent="0.25">
      <c r="A533" s="39">
        <v>29</v>
      </c>
      <c r="B533" s="39" t="s">
        <v>1240</v>
      </c>
      <c r="C533" s="39" t="s">
        <v>534</v>
      </c>
      <c r="D533" s="39">
        <v>2009</v>
      </c>
      <c r="E533" s="39">
        <v>2006</v>
      </c>
      <c r="F533" s="39" t="s">
        <v>363</v>
      </c>
      <c r="G533" s="39" t="s">
        <v>535</v>
      </c>
      <c r="H533" s="39">
        <f t="shared" si="193"/>
        <v>43.333333333333336</v>
      </c>
      <c r="I533" s="39">
        <f t="shared" si="194"/>
        <v>-89.716666666666669</v>
      </c>
      <c r="J533" s="39">
        <v>250</v>
      </c>
      <c r="P533" s="58" t="s">
        <v>182</v>
      </c>
      <c r="Q533" s="58"/>
      <c r="R533" s="58"/>
      <c r="S533" s="58" t="s">
        <v>1659</v>
      </c>
      <c r="T533" s="58" t="s">
        <v>1654</v>
      </c>
      <c r="U533" s="39">
        <f t="shared" si="195"/>
        <v>1.417142857142857</v>
      </c>
      <c r="X533" s="39" t="s">
        <v>168</v>
      </c>
      <c r="Y533" s="39">
        <f t="shared" si="196"/>
        <v>6.8714285714285719</v>
      </c>
      <c r="AB533" s="39" t="s">
        <v>1565</v>
      </c>
      <c r="AC533" s="39" t="s">
        <v>1799</v>
      </c>
      <c r="AD533" s="153" t="str">
        <f t="shared" si="176"/>
        <v>Red_clover</v>
      </c>
      <c r="AE533" s="39" t="s">
        <v>167</v>
      </c>
      <c r="AG533" s="39" t="s">
        <v>527</v>
      </c>
      <c r="AH533" s="39" t="s">
        <v>527</v>
      </c>
      <c r="AI533" s="39" t="s">
        <v>230</v>
      </c>
      <c r="AM533" s="39" t="s">
        <v>544</v>
      </c>
      <c r="AN533" s="39" t="s">
        <v>544</v>
      </c>
      <c r="AP533" s="39" t="s">
        <v>537</v>
      </c>
      <c r="AQ533" s="39">
        <v>4</v>
      </c>
      <c r="AR533" s="39">
        <v>4</v>
      </c>
      <c r="AS533" s="39" t="s">
        <v>177</v>
      </c>
      <c r="AW533" s="63"/>
      <c r="BE533" s="39">
        <v>1.47</v>
      </c>
      <c r="BF533" s="39">
        <v>1.41</v>
      </c>
      <c r="BH533" s="39">
        <v>3.63</v>
      </c>
      <c r="BI533" s="39">
        <v>4.2299999999999995</v>
      </c>
      <c r="BJ533" s="39" t="s">
        <v>1106</v>
      </c>
      <c r="BN533" s="39">
        <v>45.8</v>
      </c>
      <c r="BO533" s="39">
        <v>54.5</v>
      </c>
      <c r="BQ533" s="39">
        <v>244</v>
      </c>
      <c r="BR533" s="39">
        <v>204</v>
      </c>
      <c r="BT533" s="39">
        <v>6.7</v>
      </c>
      <c r="BU533" s="39">
        <v>7</v>
      </c>
      <c r="CF533" s="39">
        <v>336</v>
      </c>
      <c r="CG533" s="39">
        <v>368</v>
      </c>
      <c r="CH533" s="39" t="s">
        <v>540</v>
      </c>
      <c r="CL533" s="39">
        <v>0.52980000000000005</v>
      </c>
      <c r="CM533" s="39">
        <v>0.65</v>
      </c>
      <c r="CN533" s="39" t="s">
        <v>1050</v>
      </c>
      <c r="DG533" s="39">
        <v>0.21</v>
      </c>
      <c r="DH533" s="39">
        <v>0.221</v>
      </c>
      <c r="DS533" s="12"/>
      <c r="DU533" s="15"/>
      <c r="DV533" s="39">
        <v>1288</v>
      </c>
      <c r="DW533" s="39">
        <v>1354</v>
      </c>
      <c r="DX533" s="39" t="s">
        <v>539</v>
      </c>
      <c r="EQ533" s="39">
        <f t="shared" si="197"/>
        <v>0.48359999999999997</v>
      </c>
      <c r="ER533" s="39">
        <f>70.9*0.012</f>
        <v>0.85080000000000011</v>
      </c>
      <c r="ES533" s="39" t="s">
        <v>1187</v>
      </c>
      <c r="EX533" s="39">
        <v>99999</v>
      </c>
      <c r="FA533" s="39" t="s">
        <v>542</v>
      </c>
      <c r="FB533" s="39" t="s">
        <v>1049</v>
      </c>
      <c r="FC533" s="39">
        <v>29</v>
      </c>
    </row>
    <row r="534" spans="1:159" s="39" customFormat="1" x14ac:dyDescent="0.25">
      <c r="A534" s="39">
        <v>29</v>
      </c>
      <c r="B534" s="39" t="s">
        <v>1240</v>
      </c>
      <c r="C534" s="39" t="s">
        <v>534</v>
      </c>
      <c r="D534" s="39">
        <v>2009</v>
      </c>
      <c r="E534" s="39">
        <v>2006</v>
      </c>
      <c r="F534" s="39" t="s">
        <v>363</v>
      </c>
      <c r="G534" s="39" t="s">
        <v>535</v>
      </c>
      <c r="H534" s="39">
        <f t="shared" si="193"/>
        <v>43.333333333333336</v>
      </c>
      <c r="I534" s="39">
        <f t="shared" si="194"/>
        <v>-89.716666666666669</v>
      </c>
      <c r="J534" s="39">
        <v>250</v>
      </c>
      <c r="P534" s="58" t="s">
        <v>182</v>
      </c>
      <c r="Q534" s="58"/>
      <c r="R534" s="58"/>
      <c r="S534" s="58" t="s">
        <v>1659</v>
      </c>
      <c r="T534" s="58" t="s">
        <v>1654</v>
      </c>
      <c r="U534" s="39">
        <f t="shared" si="195"/>
        <v>1.417142857142857</v>
      </c>
      <c r="X534" s="39" t="s">
        <v>168</v>
      </c>
      <c r="Y534" s="39">
        <f t="shared" si="196"/>
        <v>6.8714285714285719</v>
      </c>
      <c r="AB534" s="39" t="s">
        <v>1565</v>
      </c>
      <c r="AC534" s="39" t="s">
        <v>1388</v>
      </c>
      <c r="AD534" s="153" t="str">
        <f t="shared" si="176"/>
        <v>ItalianRyegrass</v>
      </c>
      <c r="AE534" s="39" t="s">
        <v>167</v>
      </c>
      <c r="AG534" s="39" t="s">
        <v>527</v>
      </c>
      <c r="AH534" s="39" t="s">
        <v>527</v>
      </c>
      <c r="AI534" s="39" t="s">
        <v>230</v>
      </c>
      <c r="AM534" s="39" t="s">
        <v>544</v>
      </c>
      <c r="AN534" s="39" t="s">
        <v>544</v>
      </c>
      <c r="AP534" s="39" t="s">
        <v>537</v>
      </c>
      <c r="AQ534" s="39">
        <v>4</v>
      </c>
      <c r="AR534" s="39">
        <v>4</v>
      </c>
      <c r="AS534" s="39" t="s">
        <v>177</v>
      </c>
      <c r="AW534" s="63"/>
      <c r="BE534" s="39">
        <v>1.47</v>
      </c>
      <c r="BF534" s="39">
        <v>1.37</v>
      </c>
      <c r="BH534" s="39">
        <v>3.63</v>
      </c>
      <c r="BI534" s="39">
        <v>4.13</v>
      </c>
      <c r="BJ534" s="39" t="s">
        <v>1106</v>
      </c>
      <c r="BN534" s="39">
        <v>45.8</v>
      </c>
      <c r="BO534" s="39">
        <v>57.5</v>
      </c>
      <c r="BQ534" s="39">
        <v>244</v>
      </c>
      <c r="BR534" s="39">
        <v>277</v>
      </c>
      <c r="BT534" s="39">
        <v>6.7</v>
      </c>
      <c r="BU534" s="39">
        <v>6.8</v>
      </c>
      <c r="CF534" s="39">
        <v>336</v>
      </c>
      <c r="CG534" s="39">
        <v>352</v>
      </c>
      <c r="CH534" s="39" t="s">
        <v>540</v>
      </c>
      <c r="CL534" s="39">
        <v>0.52980000000000005</v>
      </c>
      <c r="CM534" s="39">
        <v>0.64</v>
      </c>
      <c r="CN534" s="39" t="s">
        <v>1050</v>
      </c>
      <c r="DG534" s="39">
        <v>0.21</v>
      </c>
      <c r="DH534" s="39">
        <v>0.23300000000000001</v>
      </c>
      <c r="DS534" s="12"/>
      <c r="DU534" s="15"/>
      <c r="DV534" s="39">
        <v>1288</v>
      </c>
      <c r="DW534" s="39">
        <v>1382</v>
      </c>
      <c r="DX534" s="39" t="s">
        <v>539</v>
      </c>
      <c r="EQ534" s="39">
        <f t="shared" si="197"/>
        <v>0.48359999999999997</v>
      </c>
      <c r="ER534" s="39">
        <f>88.6*0.012</f>
        <v>1.0631999999999999</v>
      </c>
      <c r="ES534" s="39" t="s">
        <v>1187</v>
      </c>
      <c r="EX534" s="39">
        <v>99999</v>
      </c>
      <c r="FA534" s="39" t="s">
        <v>542</v>
      </c>
      <c r="FB534" s="39" t="s">
        <v>1049</v>
      </c>
      <c r="FC534" s="39">
        <v>29</v>
      </c>
    </row>
    <row r="535" spans="1:159" s="39" customFormat="1" x14ac:dyDescent="0.25">
      <c r="A535" s="39">
        <v>29</v>
      </c>
      <c r="B535" s="39" t="s">
        <v>1240</v>
      </c>
      <c r="C535" s="39" t="s">
        <v>534</v>
      </c>
      <c r="D535" s="39">
        <v>2009</v>
      </c>
      <c r="E535" s="39">
        <v>2006</v>
      </c>
      <c r="F535" s="39" t="s">
        <v>363</v>
      </c>
      <c r="G535" s="39" t="s">
        <v>535</v>
      </c>
      <c r="H535" s="39">
        <f t="shared" si="193"/>
        <v>43.333333333333336</v>
      </c>
      <c r="I535" s="39">
        <f t="shared" si="194"/>
        <v>-89.716666666666669</v>
      </c>
      <c r="J535" s="39">
        <v>250</v>
      </c>
      <c r="P535" s="58" t="s">
        <v>182</v>
      </c>
      <c r="Q535" s="58"/>
      <c r="R535" s="58"/>
      <c r="S535" s="58" t="s">
        <v>1659</v>
      </c>
      <c r="T535" s="58" t="s">
        <v>1654</v>
      </c>
      <c r="U535" s="39">
        <f t="shared" si="195"/>
        <v>1.417142857142857</v>
      </c>
      <c r="X535" s="39" t="s">
        <v>168</v>
      </c>
      <c r="Y535" s="39">
        <f t="shared" si="196"/>
        <v>6.8714285714285719</v>
      </c>
      <c r="AB535" s="39" t="s">
        <v>1565</v>
      </c>
      <c r="AC535" s="39" t="s">
        <v>1389</v>
      </c>
      <c r="AD535" s="153" t="str">
        <f t="shared" si="176"/>
        <v>WinterRye</v>
      </c>
      <c r="AE535" s="39" t="s">
        <v>167</v>
      </c>
      <c r="AG535" s="39" t="s">
        <v>527</v>
      </c>
      <c r="AH535" s="39" t="s">
        <v>527</v>
      </c>
      <c r="AI535" s="39" t="s">
        <v>230</v>
      </c>
      <c r="AM535" s="39" t="s">
        <v>544</v>
      </c>
      <c r="AN535" s="39" t="s">
        <v>544</v>
      </c>
      <c r="AP535" s="39" t="s">
        <v>537</v>
      </c>
      <c r="AQ535" s="39">
        <v>4</v>
      </c>
      <c r="AR535" s="39">
        <v>4</v>
      </c>
      <c r="AS535" s="39" t="s">
        <v>177</v>
      </c>
      <c r="AW535" s="63"/>
      <c r="BE535" s="39">
        <v>1.47</v>
      </c>
      <c r="BF535" s="39">
        <v>1.39</v>
      </c>
      <c r="BH535" s="39">
        <v>3.63</v>
      </c>
      <c r="BI535" s="39">
        <v>3.7</v>
      </c>
      <c r="BJ535" s="39" t="s">
        <v>1106</v>
      </c>
      <c r="BN535" s="39">
        <v>45.8</v>
      </c>
      <c r="BO535" s="39">
        <v>43.3</v>
      </c>
      <c r="BQ535" s="39">
        <v>244</v>
      </c>
      <c r="BR535" s="39">
        <v>265</v>
      </c>
      <c r="BT535" s="39">
        <v>6.7</v>
      </c>
      <c r="BU535" s="39">
        <v>7.1</v>
      </c>
      <c r="CF535" s="39">
        <v>336</v>
      </c>
      <c r="CG535" s="39">
        <v>411</v>
      </c>
      <c r="CH535" s="39" t="s">
        <v>540</v>
      </c>
      <c r="CL535" s="39">
        <v>0.52980000000000005</v>
      </c>
      <c r="CM535" s="39">
        <v>0.63</v>
      </c>
      <c r="CN535" s="39" t="s">
        <v>1050</v>
      </c>
      <c r="DG535" s="39">
        <v>0.21</v>
      </c>
      <c r="DH535" s="39">
        <v>0.219</v>
      </c>
      <c r="DS535" s="12"/>
      <c r="DU535" s="15"/>
      <c r="DV535" s="39">
        <v>1288</v>
      </c>
      <c r="DW535" s="39">
        <v>1360</v>
      </c>
      <c r="DX535" s="39" t="s">
        <v>539</v>
      </c>
      <c r="EQ535" s="39">
        <f t="shared" si="197"/>
        <v>0.48359999999999997</v>
      </c>
      <c r="ER535" s="39">
        <f>72.5*0.012</f>
        <v>0.87</v>
      </c>
      <c r="ES535" s="39" t="s">
        <v>1187</v>
      </c>
      <c r="EX535" s="39">
        <v>99999</v>
      </c>
      <c r="FA535" s="39" t="s">
        <v>542</v>
      </c>
      <c r="FB535" s="39" t="s">
        <v>1049</v>
      </c>
      <c r="FC535" s="39">
        <v>29</v>
      </c>
    </row>
    <row r="536" spans="1:159" s="35" customFormat="1" x14ac:dyDescent="0.25">
      <c r="A536" s="35">
        <v>29</v>
      </c>
      <c r="B536" s="35" t="s">
        <v>1240</v>
      </c>
      <c r="C536" s="35" t="s">
        <v>534</v>
      </c>
      <c r="D536" s="35">
        <v>2009</v>
      </c>
      <c r="E536" s="35">
        <v>2006</v>
      </c>
      <c r="F536" s="35" t="s">
        <v>363</v>
      </c>
      <c r="G536" s="35" t="s">
        <v>535</v>
      </c>
      <c r="H536" s="35">
        <f t="shared" si="193"/>
        <v>43.333333333333336</v>
      </c>
      <c r="I536" s="35">
        <f t="shared" si="194"/>
        <v>-89.716666666666669</v>
      </c>
      <c r="J536" s="35">
        <v>250</v>
      </c>
      <c r="P536" s="54" t="s">
        <v>182</v>
      </c>
      <c r="Q536" s="54"/>
      <c r="R536" s="54"/>
      <c r="S536" s="54" t="s">
        <v>1659</v>
      </c>
      <c r="T536" s="54" t="s">
        <v>1654</v>
      </c>
      <c r="U536" s="35">
        <f t="shared" si="195"/>
        <v>1.417142857142857</v>
      </c>
      <c r="X536" s="35" t="s">
        <v>168</v>
      </c>
      <c r="Y536" s="35">
        <f t="shared" si="196"/>
        <v>6.8714285714285719</v>
      </c>
      <c r="AB536" s="35" t="s">
        <v>1565</v>
      </c>
      <c r="AC536" s="35" t="s">
        <v>1819</v>
      </c>
      <c r="AD536" s="153" t="str">
        <f t="shared" si="176"/>
        <v>Kura_clover</v>
      </c>
      <c r="AE536" s="35" t="s">
        <v>536</v>
      </c>
      <c r="AG536" s="35" t="s">
        <v>527</v>
      </c>
      <c r="AH536" s="35" t="s">
        <v>527</v>
      </c>
      <c r="AI536" s="35" t="s">
        <v>230</v>
      </c>
      <c r="AM536" s="35" t="s">
        <v>544</v>
      </c>
      <c r="AN536" s="35" t="s">
        <v>544</v>
      </c>
      <c r="AP536" s="35" t="s">
        <v>538</v>
      </c>
      <c r="AQ536" s="35">
        <v>4</v>
      </c>
      <c r="AR536" s="35">
        <v>4</v>
      </c>
      <c r="AS536" s="35" t="s">
        <v>177</v>
      </c>
      <c r="AW536" s="63"/>
      <c r="BE536" s="35">
        <v>1.42</v>
      </c>
      <c r="BF536" s="35">
        <v>1.4</v>
      </c>
      <c r="BH536" s="35">
        <v>4</v>
      </c>
      <c r="BI536" s="35">
        <v>4.2299999999999995</v>
      </c>
      <c r="BJ536" s="35" t="s">
        <v>1106</v>
      </c>
      <c r="BN536" s="35">
        <v>33</v>
      </c>
      <c r="BO536" s="35">
        <v>37.799999999999997</v>
      </c>
      <c r="BQ536" s="35">
        <v>208</v>
      </c>
      <c r="BR536" s="35">
        <v>204</v>
      </c>
      <c r="BT536" s="35">
        <v>7</v>
      </c>
      <c r="BU536" s="35">
        <v>6.6</v>
      </c>
      <c r="CF536" s="35">
        <v>407</v>
      </c>
      <c r="CG536" s="35">
        <v>365</v>
      </c>
      <c r="CH536" s="35" t="s">
        <v>540</v>
      </c>
      <c r="CL536" s="35">
        <v>0.57999999999999996</v>
      </c>
      <c r="CM536" s="35">
        <v>0.61539999999999995</v>
      </c>
      <c r="CN536" s="35" t="s">
        <v>1050</v>
      </c>
      <c r="DG536" s="35">
        <v>0.216</v>
      </c>
      <c r="DH536" s="35">
        <v>0.26800000000000002</v>
      </c>
      <c r="DS536" s="12"/>
      <c r="DU536" s="15"/>
      <c r="DV536" s="35">
        <v>1306</v>
      </c>
      <c r="DW536" s="35">
        <v>1376</v>
      </c>
      <c r="DX536" s="35" t="s">
        <v>539</v>
      </c>
      <c r="EQ536" s="35">
        <f>61.6*0.012</f>
        <v>0.73920000000000008</v>
      </c>
      <c r="ER536" s="35">
        <f>87.1*0.012</f>
        <v>1.0451999999999999</v>
      </c>
      <c r="ES536" s="35" t="s">
        <v>543</v>
      </c>
      <c r="EX536" s="39">
        <v>99999</v>
      </c>
      <c r="FA536" s="35" t="s">
        <v>542</v>
      </c>
      <c r="FB536" s="35" t="s">
        <v>1049</v>
      </c>
      <c r="FC536" s="35">
        <v>29</v>
      </c>
    </row>
    <row r="537" spans="1:159" s="35" customFormat="1" x14ac:dyDescent="0.25">
      <c r="A537" s="35">
        <v>29</v>
      </c>
      <c r="B537" s="35" t="s">
        <v>1240</v>
      </c>
      <c r="C537" s="35" t="s">
        <v>534</v>
      </c>
      <c r="D537" s="35">
        <v>2009</v>
      </c>
      <c r="E537" s="35">
        <v>2006</v>
      </c>
      <c r="F537" s="35" t="s">
        <v>363</v>
      </c>
      <c r="G537" s="35" t="s">
        <v>535</v>
      </c>
      <c r="H537" s="35">
        <f t="shared" si="193"/>
        <v>43.333333333333336</v>
      </c>
      <c r="I537" s="35">
        <f t="shared" si="194"/>
        <v>-89.716666666666669</v>
      </c>
      <c r="J537" s="35">
        <v>250</v>
      </c>
      <c r="P537" s="54" t="s">
        <v>182</v>
      </c>
      <c r="Q537" s="54"/>
      <c r="R537" s="54"/>
      <c r="S537" s="54" t="s">
        <v>1659</v>
      </c>
      <c r="T537" s="54" t="s">
        <v>1654</v>
      </c>
      <c r="U537" s="35">
        <f t="shared" si="195"/>
        <v>1.417142857142857</v>
      </c>
      <c r="X537" s="35" t="s">
        <v>168</v>
      </c>
      <c r="Y537" s="35">
        <f t="shared" si="196"/>
        <v>6.8714285714285719</v>
      </c>
      <c r="AB537" s="35" t="s">
        <v>1565</v>
      </c>
      <c r="AC537" s="35" t="s">
        <v>1819</v>
      </c>
      <c r="AD537" s="153" t="str">
        <f t="shared" si="176"/>
        <v>Kura_clover</v>
      </c>
      <c r="AE537" s="35" t="s">
        <v>167</v>
      </c>
      <c r="AG537" s="35" t="s">
        <v>527</v>
      </c>
      <c r="AH537" s="35" t="s">
        <v>527</v>
      </c>
      <c r="AI537" s="35" t="s">
        <v>230</v>
      </c>
      <c r="AM537" s="35" t="s">
        <v>544</v>
      </c>
      <c r="AN537" s="35" t="s">
        <v>544</v>
      </c>
      <c r="AP537" s="35" t="s">
        <v>538</v>
      </c>
      <c r="AQ537" s="35">
        <v>4</v>
      </c>
      <c r="AR537" s="35">
        <v>4</v>
      </c>
      <c r="AS537" s="35" t="s">
        <v>177</v>
      </c>
      <c r="AW537" s="63"/>
      <c r="BE537" s="35">
        <v>1.42</v>
      </c>
      <c r="BF537" s="35">
        <v>1.4</v>
      </c>
      <c r="BH537" s="35">
        <v>4</v>
      </c>
      <c r="BI537" s="35">
        <v>4.2799999999999994</v>
      </c>
      <c r="BJ537" s="35" t="s">
        <v>1106</v>
      </c>
      <c r="BN537" s="35">
        <v>33</v>
      </c>
      <c r="BO537" s="35">
        <v>42.3</v>
      </c>
      <c r="BQ537" s="35">
        <v>208</v>
      </c>
      <c r="BR537" s="35">
        <v>269</v>
      </c>
      <c r="BT537" s="35">
        <v>7</v>
      </c>
      <c r="BU537" s="35">
        <v>6.9</v>
      </c>
      <c r="CF537" s="35">
        <v>407</v>
      </c>
      <c r="CG537" s="35">
        <v>385</v>
      </c>
      <c r="CH537" s="35" t="s">
        <v>540</v>
      </c>
      <c r="CL537" s="35">
        <v>0.57999999999999996</v>
      </c>
      <c r="CM537" s="35">
        <v>0.6</v>
      </c>
      <c r="CN537" s="35" t="s">
        <v>1050</v>
      </c>
      <c r="DG537" s="35">
        <v>0.216</v>
      </c>
      <c r="DH537" s="35">
        <v>0.24399999999999999</v>
      </c>
      <c r="DS537" s="12"/>
      <c r="DU537" s="15"/>
      <c r="DV537" s="35">
        <v>1306</v>
      </c>
      <c r="DW537" s="35">
        <v>1379</v>
      </c>
      <c r="DX537" s="35" t="s">
        <v>539</v>
      </c>
      <c r="EQ537" s="35">
        <f t="shared" ref="EQ537:EQ541" si="198">61.6*0.012</f>
        <v>0.73920000000000008</v>
      </c>
      <c r="ER537" s="35">
        <f>108.2*0.012</f>
        <v>1.2984</v>
      </c>
      <c r="ES537" s="35" t="s">
        <v>543</v>
      </c>
      <c r="EX537" s="39">
        <v>99999</v>
      </c>
      <c r="FA537" s="35" t="s">
        <v>542</v>
      </c>
      <c r="FB537" s="35" t="s">
        <v>1049</v>
      </c>
      <c r="FC537" s="35">
        <v>29</v>
      </c>
    </row>
    <row r="538" spans="1:159" s="35" customFormat="1" x14ac:dyDescent="0.25">
      <c r="A538" s="35">
        <v>29</v>
      </c>
      <c r="B538" s="35" t="s">
        <v>1240</v>
      </c>
      <c r="C538" s="35" t="s">
        <v>534</v>
      </c>
      <c r="D538" s="35">
        <v>2009</v>
      </c>
      <c r="E538" s="35">
        <v>2006</v>
      </c>
      <c r="F538" s="35" t="s">
        <v>363</v>
      </c>
      <c r="G538" s="35" t="s">
        <v>535</v>
      </c>
      <c r="H538" s="35">
        <f t="shared" si="193"/>
        <v>43.333333333333336</v>
      </c>
      <c r="I538" s="35">
        <f t="shared" si="194"/>
        <v>-89.716666666666669</v>
      </c>
      <c r="J538" s="35">
        <v>250</v>
      </c>
      <c r="P538" s="54" t="s">
        <v>182</v>
      </c>
      <c r="Q538" s="54"/>
      <c r="R538" s="54"/>
      <c r="S538" s="54" t="s">
        <v>1659</v>
      </c>
      <c r="T538" s="54" t="s">
        <v>1654</v>
      </c>
      <c r="U538" s="35">
        <f t="shared" si="195"/>
        <v>1.417142857142857</v>
      </c>
      <c r="X538" s="35" t="s">
        <v>168</v>
      </c>
      <c r="Y538" s="35">
        <f t="shared" si="196"/>
        <v>6.8714285714285719</v>
      </c>
      <c r="AB538" s="35" t="s">
        <v>1565</v>
      </c>
      <c r="AC538" s="35" t="s">
        <v>1799</v>
      </c>
      <c r="AD538" s="153" t="str">
        <f t="shared" si="176"/>
        <v>Red_clover</v>
      </c>
      <c r="AE538" s="35" t="s">
        <v>536</v>
      </c>
      <c r="AG538" s="35" t="s">
        <v>527</v>
      </c>
      <c r="AH538" s="35" t="s">
        <v>527</v>
      </c>
      <c r="AI538" s="35" t="s">
        <v>230</v>
      </c>
      <c r="AM538" s="35" t="s">
        <v>544</v>
      </c>
      <c r="AN538" s="35" t="s">
        <v>544</v>
      </c>
      <c r="AP538" s="35" t="s">
        <v>538</v>
      </c>
      <c r="AQ538" s="35">
        <v>4</v>
      </c>
      <c r="AR538" s="35">
        <v>4</v>
      </c>
      <c r="AS538" s="35" t="s">
        <v>177</v>
      </c>
      <c r="AW538" s="63"/>
      <c r="BE538" s="35">
        <v>1.42</v>
      </c>
      <c r="BF538" s="35">
        <v>1.46</v>
      </c>
      <c r="BH538" s="35">
        <v>4</v>
      </c>
      <c r="BI538" s="35">
        <v>3.8299999999999996</v>
      </c>
      <c r="BJ538" s="35" t="s">
        <v>1106</v>
      </c>
      <c r="BN538" s="35">
        <v>33</v>
      </c>
      <c r="BO538" s="35">
        <v>37.299999999999997</v>
      </c>
      <c r="BQ538" s="35">
        <v>208</v>
      </c>
      <c r="BR538" s="35">
        <v>161</v>
      </c>
      <c r="BT538" s="35">
        <v>7</v>
      </c>
      <c r="BU538" s="35">
        <v>6.6</v>
      </c>
      <c r="CF538" s="35">
        <v>407</v>
      </c>
      <c r="CG538" s="35">
        <v>337</v>
      </c>
      <c r="CH538" s="35" t="s">
        <v>540</v>
      </c>
      <c r="CL538" s="35">
        <v>0.57999999999999996</v>
      </c>
      <c r="CM538" s="35">
        <v>0.63</v>
      </c>
      <c r="CN538" s="35" t="s">
        <v>1050</v>
      </c>
      <c r="DG538" s="35">
        <v>0.216</v>
      </c>
      <c r="DH538" s="35">
        <v>0.23799999999999999</v>
      </c>
      <c r="DS538" s="12"/>
      <c r="DU538" s="15"/>
      <c r="DV538" s="35">
        <v>1306</v>
      </c>
      <c r="DW538" s="35">
        <v>1336</v>
      </c>
      <c r="DX538" s="35" t="s">
        <v>539</v>
      </c>
      <c r="EQ538" s="35">
        <f t="shared" si="198"/>
        <v>0.73920000000000008</v>
      </c>
      <c r="ER538" s="35">
        <f>105*0.012</f>
        <v>1.26</v>
      </c>
      <c r="ES538" s="35" t="s">
        <v>543</v>
      </c>
      <c r="EX538" s="39">
        <v>99999</v>
      </c>
      <c r="FA538" s="35" t="s">
        <v>542</v>
      </c>
      <c r="FB538" s="35" t="s">
        <v>1049</v>
      </c>
      <c r="FC538" s="35">
        <v>29</v>
      </c>
    </row>
    <row r="539" spans="1:159" s="35" customFormat="1" x14ac:dyDescent="0.25">
      <c r="A539" s="35">
        <v>29</v>
      </c>
      <c r="B539" s="35" t="s">
        <v>1240</v>
      </c>
      <c r="C539" s="35" t="s">
        <v>534</v>
      </c>
      <c r="D539" s="35">
        <v>2009</v>
      </c>
      <c r="E539" s="35">
        <v>2006</v>
      </c>
      <c r="F539" s="35" t="s">
        <v>363</v>
      </c>
      <c r="G539" s="35" t="s">
        <v>535</v>
      </c>
      <c r="H539" s="35">
        <f t="shared" si="193"/>
        <v>43.333333333333336</v>
      </c>
      <c r="I539" s="35">
        <f t="shared" si="194"/>
        <v>-89.716666666666669</v>
      </c>
      <c r="J539" s="35">
        <v>250</v>
      </c>
      <c r="P539" s="54" t="s">
        <v>182</v>
      </c>
      <c r="Q539" s="54"/>
      <c r="R539" s="54"/>
      <c r="S539" s="54" t="s">
        <v>1659</v>
      </c>
      <c r="T539" s="54" t="s">
        <v>1654</v>
      </c>
      <c r="U539" s="35">
        <f t="shared" si="195"/>
        <v>1.417142857142857</v>
      </c>
      <c r="X539" s="35" t="s">
        <v>168</v>
      </c>
      <c r="Y539" s="35">
        <f t="shared" si="196"/>
        <v>6.8714285714285719</v>
      </c>
      <c r="AB539" s="35" t="s">
        <v>1565</v>
      </c>
      <c r="AC539" s="35" t="s">
        <v>1799</v>
      </c>
      <c r="AD539" s="153" t="str">
        <f t="shared" si="176"/>
        <v>Red_clover</v>
      </c>
      <c r="AE539" s="35" t="s">
        <v>167</v>
      </c>
      <c r="AG539" s="35" t="s">
        <v>527</v>
      </c>
      <c r="AH539" s="35" t="s">
        <v>527</v>
      </c>
      <c r="AI539" s="35" t="s">
        <v>230</v>
      </c>
      <c r="AM539" s="35" t="s">
        <v>544</v>
      </c>
      <c r="AN539" s="35" t="s">
        <v>544</v>
      </c>
      <c r="AP539" s="35" t="s">
        <v>538</v>
      </c>
      <c r="AQ539" s="35">
        <v>4</v>
      </c>
      <c r="AR539" s="35">
        <v>4</v>
      </c>
      <c r="AS539" s="35" t="s">
        <v>177</v>
      </c>
      <c r="AW539" s="63"/>
      <c r="BE539" s="35">
        <v>1.42</v>
      </c>
      <c r="BF539" s="35">
        <v>1.41</v>
      </c>
      <c r="BH539" s="35">
        <v>4</v>
      </c>
      <c r="BI539" s="35">
        <v>4.2299999999999995</v>
      </c>
      <c r="BJ539" s="35" t="s">
        <v>1106</v>
      </c>
      <c r="BN539" s="35">
        <v>33</v>
      </c>
      <c r="BO539" s="35">
        <v>54.5</v>
      </c>
      <c r="BQ539" s="35">
        <v>208</v>
      </c>
      <c r="BR539" s="35">
        <v>204</v>
      </c>
      <c r="BT539" s="35">
        <v>7</v>
      </c>
      <c r="BU539" s="35">
        <v>7</v>
      </c>
      <c r="CF539" s="35">
        <v>407</v>
      </c>
      <c r="CG539" s="35">
        <v>368</v>
      </c>
      <c r="CH539" s="35" t="s">
        <v>540</v>
      </c>
      <c r="CL539" s="35">
        <v>0.57999999999999996</v>
      </c>
      <c r="CM539" s="35">
        <v>0.65</v>
      </c>
      <c r="CN539" s="35" t="s">
        <v>1050</v>
      </c>
      <c r="DG539" s="35">
        <v>0.216</v>
      </c>
      <c r="DH539" s="35">
        <v>0.221</v>
      </c>
      <c r="DS539" s="12"/>
      <c r="DU539" s="15"/>
      <c r="DV539" s="35">
        <v>1306</v>
      </c>
      <c r="DW539" s="35">
        <v>1354</v>
      </c>
      <c r="DX539" s="35" t="s">
        <v>539</v>
      </c>
      <c r="EQ539" s="35">
        <f t="shared" si="198"/>
        <v>0.73920000000000008</v>
      </c>
      <c r="ER539" s="35">
        <f>70.9*0.012</f>
        <v>0.85080000000000011</v>
      </c>
      <c r="ES539" s="35" t="s">
        <v>543</v>
      </c>
      <c r="EX539" s="39">
        <v>99999</v>
      </c>
      <c r="FA539" s="35" t="s">
        <v>542</v>
      </c>
      <c r="FB539" s="35" t="s">
        <v>1049</v>
      </c>
      <c r="FC539" s="35">
        <v>29</v>
      </c>
    </row>
    <row r="540" spans="1:159" s="35" customFormat="1" x14ac:dyDescent="0.25">
      <c r="A540" s="35">
        <v>29</v>
      </c>
      <c r="B540" s="35" t="s">
        <v>1240</v>
      </c>
      <c r="C540" s="35" t="s">
        <v>534</v>
      </c>
      <c r="D540" s="35">
        <v>2009</v>
      </c>
      <c r="E540" s="35">
        <v>2006</v>
      </c>
      <c r="F540" s="35" t="s">
        <v>363</v>
      </c>
      <c r="G540" s="35" t="s">
        <v>535</v>
      </c>
      <c r="H540" s="35">
        <f t="shared" si="193"/>
        <v>43.333333333333336</v>
      </c>
      <c r="I540" s="35">
        <f t="shared" si="194"/>
        <v>-89.716666666666669</v>
      </c>
      <c r="J540" s="35">
        <v>250</v>
      </c>
      <c r="P540" s="54" t="s">
        <v>182</v>
      </c>
      <c r="Q540" s="54"/>
      <c r="R540" s="54"/>
      <c r="S540" s="54" t="s">
        <v>1659</v>
      </c>
      <c r="T540" s="54" t="s">
        <v>1654</v>
      </c>
      <c r="U540" s="35">
        <f t="shared" si="195"/>
        <v>1.417142857142857</v>
      </c>
      <c r="X540" s="35" t="s">
        <v>168</v>
      </c>
      <c r="Y540" s="35">
        <f t="shared" si="196"/>
        <v>6.8714285714285719</v>
      </c>
      <c r="AB540" s="35" t="s">
        <v>1565</v>
      </c>
      <c r="AC540" s="35" t="s">
        <v>1388</v>
      </c>
      <c r="AD540" s="153" t="str">
        <f t="shared" si="176"/>
        <v>ItalianRyegrass</v>
      </c>
      <c r="AE540" s="35" t="s">
        <v>167</v>
      </c>
      <c r="AG540" s="35" t="s">
        <v>527</v>
      </c>
      <c r="AH540" s="35" t="s">
        <v>527</v>
      </c>
      <c r="AI540" s="35" t="s">
        <v>230</v>
      </c>
      <c r="AM540" s="35" t="s">
        <v>544</v>
      </c>
      <c r="AN540" s="35" t="s">
        <v>544</v>
      </c>
      <c r="AP540" s="35" t="s">
        <v>538</v>
      </c>
      <c r="AQ540" s="35">
        <v>4</v>
      </c>
      <c r="AR540" s="35">
        <v>4</v>
      </c>
      <c r="AS540" s="35" t="s">
        <v>177</v>
      </c>
      <c r="AW540" s="63"/>
      <c r="BE540" s="35">
        <v>1.42</v>
      </c>
      <c r="BF540" s="35">
        <v>1.37</v>
      </c>
      <c r="BH540" s="35">
        <v>4</v>
      </c>
      <c r="BI540" s="35">
        <v>4.13</v>
      </c>
      <c r="BJ540" s="35" t="s">
        <v>1106</v>
      </c>
      <c r="BN540" s="35">
        <v>33</v>
      </c>
      <c r="BO540" s="35">
        <v>57.5</v>
      </c>
      <c r="BQ540" s="35">
        <v>208</v>
      </c>
      <c r="BR540" s="35">
        <v>277</v>
      </c>
      <c r="BT540" s="35">
        <v>7</v>
      </c>
      <c r="BU540" s="35">
        <v>6.8</v>
      </c>
      <c r="CF540" s="35">
        <v>407</v>
      </c>
      <c r="CG540" s="35">
        <v>352</v>
      </c>
      <c r="CH540" s="35" t="s">
        <v>540</v>
      </c>
      <c r="CL540" s="35">
        <v>0.57999999999999996</v>
      </c>
      <c r="CM540" s="35">
        <v>0.64</v>
      </c>
      <c r="CN540" s="35" t="s">
        <v>1050</v>
      </c>
      <c r="DG540" s="35">
        <v>0.216</v>
      </c>
      <c r="DH540" s="35">
        <v>0.23300000000000001</v>
      </c>
      <c r="DS540" s="12"/>
      <c r="DU540" s="15"/>
      <c r="DV540" s="35">
        <v>1306</v>
      </c>
      <c r="DW540" s="35">
        <v>1382</v>
      </c>
      <c r="DX540" s="35" t="s">
        <v>539</v>
      </c>
      <c r="EQ540" s="35">
        <f t="shared" si="198"/>
        <v>0.73920000000000008</v>
      </c>
      <c r="ER540" s="35">
        <f>88.6*0.012</f>
        <v>1.0631999999999999</v>
      </c>
      <c r="ES540" s="35" t="s">
        <v>543</v>
      </c>
      <c r="EX540" s="39">
        <v>99999</v>
      </c>
      <c r="FA540" s="35" t="s">
        <v>542</v>
      </c>
      <c r="FB540" s="35" t="s">
        <v>1049</v>
      </c>
      <c r="FC540" s="35">
        <v>29</v>
      </c>
    </row>
    <row r="541" spans="1:159" s="35" customFormat="1" x14ac:dyDescent="0.25">
      <c r="A541" s="35">
        <v>29</v>
      </c>
      <c r="B541" s="35" t="s">
        <v>1240</v>
      </c>
      <c r="C541" s="35" t="s">
        <v>534</v>
      </c>
      <c r="D541" s="35">
        <v>2009</v>
      </c>
      <c r="E541" s="35">
        <v>2006</v>
      </c>
      <c r="F541" s="35" t="s">
        <v>363</v>
      </c>
      <c r="G541" s="35" t="s">
        <v>535</v>
      </c>
      <c r="H541" s="35">
        <f t="shared" si="193"/>
        <v>43.333333333333336</v>
      </c>
      <c r="I541" s="35">
        <f t="shared" si="194"/>
        <v>-89.716666666666669</v>
      </c>
      <c r="J541" s="35">
        <v>250</v>
      </c>
      <c r="P541" s="54" t="s">
        <v>182</v>
      </c>
      <c r="Q541" s="54"/>
      <c r="R541" s="54"/>
      <c r="S541" s="54" t="s">
        <v>1659</v>
      </c>
      <c r="T541" s="54" t="s">
        <v>1654</v>
      </c>
      <c r="U541" s="35">
        <f t="shared" si="195"/>
        <v>1.417142857142857</v>
      </c>
      <c r="X541" s="35" t="s">
        <v>168</v>
      </c>
      <c r="Y541" s="35">
        <f t="shared" si="196"/>
        <v>6.8714285714285719</v>
      </c>
      <c r="AB541" s="35" t="s">
        <v>1565</v>
      </c>
      <c r="AC541" s="35" t="s">
        <v>1389</v>
      </c>
      <c r="AD541" s="153" t="str">
        <f t="shared" si="176"/>
        <v>WinterRye</v>
      </c>
      <c r="AE541" s="35" t="s">
        <v>167</v>
      </c>
      <c r="AG541" s="35" t="s">
        <v>527</v>
      </c>
      <c r="AH541" s="35" t="s">
        <v>527</v>
      </c>
      <c r="AI541" s="35" t="s">
        <v>230</v>
      </c>
      <c r="AM541" s="35" t="s">
        <v>544</v>
      </c>
      <c r="AN541" s="35" t="s">
        <v>544</v>
      </c>
      <c r="AP541" s="35" t="s">
        <v>538</v>
      </c>
      <c r="AQ541" s="35">
        <v>4</v>
      </c>
      <c r="AR541" s="35">
        <v>4</v>
      </c>
      <c r="AS541" s="35" t="s">
        <v>177</v>
      </c>
      <c r="AW541" s="63"/>
      <c r="BE541" s="35">
        <v>1.42</v>
      </c>
      <c r="BF541" s="35">
        <v>1.39</v>
      </c>
      <c r="BH541" s="35">
        <v>4</v>
      </c>
      <c r="BI541" s="35">
        <v>3.7</v>
      </c>
      <c r="BJ541" s="35" t="s">
        <v>1106</v>
      </c>
      <c r="BN541" s="35">
        <v>33</v>
      </c>
      <c r="BO541" s="35">
        <v>43.3</v>
      </c>
      <c r="BQ541" s="35">
        <v>208</v>
      </c>
      <c r="BR541" s="35">
        <v>265</v>
      </c>
      <c r="BT541" s="35">
        <v>7</v>
      </c>
      <c r="BU541" s="35">
        <v>7.1</v>
      </c>
      <c r="CF541" s="35">
        <v>407</v>
      </c>
      <c r="CG541" s="35">
        <v>411</v>
      </c>
      <c r="CH541" s="35" t="s">
        <v>540</v>
      </c>
      <c r="CL541" s="35">
        <v>0.57999999999999996</v>
      </c>
      <c r="CM541" s="35">
        <v>0.63</v>
      </c>
      <c r="CN541" s="35" t="s">
        <v>1050</v>
      </c>
      <c r="DG541" s="35">
        <v>0.216</v>
      </c>
      <c r="DH541" s="35">
        <v>0.219</v>
      </c>
      <c r="DS541" s="12"/>
      <c r="DU541" s="15"/>
      <c r="DV541" s="35">
        <v>1306</v>
      </c>
      <c r="DW541" s="35">
        <v>1360</v>
      </c>
      <c r="DX541" s="35" t="s">
        <v>539</v>
      </c>
      <c r="EQ541" s="35">
        <f t="shared" si="198"/>
        <v>0.73920000000000008</v>
      </c>
      <c r="ER541" s="35">
        <f>72.5*0.012</f>
        <v>0.87</v>
      </c>
      <c r="ES541" s="35" t="s">
        <v>543</v>
      </c>
      <c r="EX541" s="39">
        <v>99999</v>
      </c>
      <c r="FA541" s="35" t="s">
        <v>542</v>
      </c>
      <c r="FB541" s="35" t="s">
        <v>1049</v>
      </c>
      <c r="FC541" s="35">
        <v>29</v>
      </c>
    </row>
    <row r="542" spans="1:159" s="39" customFormat="1" x14ac:dyDescent="0.25">
      <c r="A542" s="39">
        <v>29</v>
      </c>
      <c r="B542" s="39" t="s">
        <v>1240</v>
      </c>
      <c r="C542" s="39" t="s">
        <v>534</v>
      </c>
      <c r="D542" s="39">
        <v>2009</v>
      </c>
      <c r="E542" s="39">
        <v>2006</v>
      </c>
      <c r="F542" s="39" t="s">
        <v>363</v>
      </c>
      <c r="G542" s="39" t="s">
        <v>535</v>
      </c>
      <c r="H542" s="39">
        <f t="shared" si="193"/>
        <v>43.333333333333336</v>
      </c>
      <c r="I542" s="39">
        <f t="shared" si="194"/>
        <v>-89.716666666666669</v>
      </c>
      <c r="J542" s="39">
        <v>250</v>
      </c>
      <c r="P542" s="58" t="s">
        <v>182</v>
      </c>
      <c r="Q542" s="58"/>
      <c r="R542" s="58"/>
      <c r="S542" s="58" t="s">
        <v>1647</v>
      </c>
      <c r="T542" s="58" t="s">
        <v>1654</v>
      </c>
      <c r="U542" s="39">
        <f t="shared" si="195"/>
        <v>1.417142857142857</v>
      </c>
      <c r="X542" s="39" t="s">
        <v>168</v>
      </c>
      <c r="Y542" s="39">
        <f t="shared" si="196"/>
        <v>6.8714285714285719</v>
      </c>
      <c r="AB542" s="39" t="s">
        <v>1565</v>
      </c>
      <c r="AC542" s="39" t="s">
        <v>1819</v>
      </c>
      <c r="AD542" s="153" t="str">
        <f t="shared" si="176"/>
        <v>Kura_clover</v>
      </c>
      <c r="AE542" s="39" t="s">
        <v>536</v>
      </c>
      <c r="AG542" s="39" t="s">
        <v>527</v>
      </c>
      <c r="AH542" s="39" t="s">
        <v>527</v>
      </c>
      <c r="AI542" s="39" t="s">
        <v>230</v>
      </c>
      <c r="AM542" s="39" t="s">
        <v>544</v>
      </c>
      <c r="AN542" s="39" t="s">
        <v>544</v>
      </c>
      <c r="AP542" s="39" t="s">
        <v>537</v>
      </c>
      <c r="AQ542" s="39">
        <v>4</v>
      </c>
      <c r="AR542" s="39">
        <v>4</v>
      </c>
      <c r="AS542" s="39" t="s">
        <v>177</v>
      </c>
      <c r="AW542" s="63"/>
      <c r="BE542" s="39">
        <v>1.49</v>
      </c>
      <c r="BF542" s="39">
        <v>1.45</v>
      </c>
      <c r="BH542" s="39">
        <v>2.93</v>
      </c>
      <c r="BI542" s="39">
        <v>3.3</v>
      </c>
      <c r="BJ542" s="39" t="s">
        <v>1106</v>
      </c>
      <c r="BN542" s="39">
        <v>24.3</v>
      </c>
      <c r="BO542" s="39">
        <v>20.8</v>
      </c>
      <c r="BQ542" s="39">
        <v>145</v>
      </c>
      <c r="BR542" s="39">
        <v>104</v>
      </c>
      <c r="BT542" s="39">
        <v>7.1</v>
      </c>
      <c r="BU542" s="39">
        <v>6.8</v>
      </c>
      <c r="CF542" s="39">
        <v>293</v>
      </c>
      <c r="CG542" s="39">
        <v>313</v>
      </c>
      <c r="CH542" s="39" t="s">
        <v>540</v>
      </c>
      <c r="CL542" s="39">
        <v>1.3393999999999999</v>
      </c>
      <c r="CM542" s="39">
        <v>1.2694000000000001</v>
      </c>
      <c r="CN542" s="39" t="s">
        <v>1050</v>
      </c>
      <c r="DG542" s="39">
        <v>0.23</v>
      </c>
      <c r="DH542" s="39">
        <v>0.23499999999999999</v>
      </c>
      <c r="DS542" s="12"/>
      <c r="DU542" s="15"/>
      <c r="DV542" s="39">
        <v>1092</v>
      </c>
      <c r="DW542" s="39">
        <v>1178</v>
      </c>
      <c r="DX542" s="39" t="s">
        <v>539</v>
      </c>
      <c r="EQ542" s="39">
        <f>22*0.012</f>
        <v>0.26400000000000001</v>
      </c>
      <c r="ER542" s="39">
        <f>54.3*0.012</f>
        <v>0.65159999999999996</v>
      </c>
      <c r="ES542" s="39" t="s">
        <v>543</v>
      </c>
      <c r="EX542" s="39">
        <v>99999</v>
      </c>
      <c r="FA542" s="39" t="s">
        <v>542</v>
      </c>
      <c r="FB542" s="39" t="s">
        <v>1049</v>
      </c>
      <c r="FC542" s="39">
        <v>29</v>
      </c>
    </row>
    <row r="543" spans="1:159" s="39" customFormat="1" x14ac:dyDescent="0.25">
      <c r="A543" s="39">
        <v>29</v>
      </c>
      <c r="B543" s="39" t="s">
        <v>1240</v>
      </c>
      <c r="C543" s="39" t="s">
        <v>534</v>
      </c>
      <c r="D543" s="39">
        <v>2009</v>
      </c>
      <c r="E543" s="39">
        <v>2006</v>
      </c>
      <c r="F543" s="39" t="s">
        <v>363</v>
      </c>
      <c r="G543" s="39" t="s">
        <v>535</v>
      </c>
      <c r="H543" s="39">
        <f t="shared" si="193"/>
        <v>43.333333333333336</v>
      </c>
      <c r="I543" s="39">
        <f t="shared" si="194"/>
        <v>-89.716666666666669</v>
      </c>
      <c r="J543" s="39">
        <v>250</v>
      </c>
      <c r="P543" s="58" t="s">
        <v>182</v>
      </c>
      <c r="Q543" s="58"/>
      <c r="R543" s="58"/>
      <c r="S543" s="58" t="s">
        <v>1647</v>
      </c>
      <c r="T543" s="58" t="s">
        <v>1654</v>
      </c>
      <c r="U543" s="39">
        <f t="shared" si="195"/>
        <v>1.417142857142857</v>
      </c>
      <c r="X543" s="39" t="s">
        <v>168</v>
      </c>
      <c r="Y543" s="39">
        <f t="shared" si="196"/>
        <v>6.8714285714285719</v>
      </c>
      <c r="AB543" s="39" t="s">
        <v>1565</v>
      </c>
      <c r="AC543" s="39" t="s">
        <v>1819</v>
      </c>
      <c r="AD543" s="153" t="str">
        <f t="shared" si="176"/>
        <v>Kura_clover</v>
      </c>
      <c r="AE543" s="39" t="s">
        <v>167</v>
      </c>
      <c r="AG543" s="39" t="s">
        <v>527</v>
      </c>
      <c r="AH543" s="39" t="s">
        <v>527</v>
      </c>
      <c r="AI543" s="39" t="s">
        <v>230</v>
      </c>
      <c r="AM543" s="39" t="s">
        <v>544</v>
      </c>
      <c r="AN543" s="39" t="s">
        <v>544</v>
      </c>
      <c r="AP543" s="39" t="s">
        <v>537</v>
      </c>
      <c r="AQ543" s="39">
        <v>4</v>
      </c>
      <c r="AR543" s="39">
        <v>4</v>
      </c>
      <c r="AS543" s="39" t="s">
        <v>177</v>
      </c>
      <c r="AW543" s="63"/>
      <c r="BE543" s="39">
        <v>1.49</v>
      </c>
      <c r="BF543" s="39">
        <v>1.42</v>
      </c>
      <c r="BH543" s="39">
        <v>2.93</v>
      </c>
      <c r="BI543" s="39">
        <v>3.38</v>
      </c>
      <c r="BJ543" s="39" t="s">
        <v>1106</v>
      </c>
      <c r="BN543" s="39">
        <v>24.3</v>
      </c>
      <c r="BO543" s="39">
        <v>19</v>
      </c>
      <c r="BQ543" s="39">
        <v>145</v>
      </c>
      <c r="BR543" s="39">
        <v>121</v>
      </c>
      <c r="BT543" s="39">
        <v>7.1</v>
      </c>
      <c r="BU543" s="39">
        <v>6.6</v>
      </c>
      <c r="CF543" s="39">
        <v>293</v>
      </c>
      <c r="CG543" s="39">
        <v>404</v>
      </c>
      <c r="CH543" s="39" t="s">
        <v>540</v>
      </c>
      <c r="CL543" s="39">
        <v>1.3393999999999999</v>
      </c>
      <c r="CM543" s="39">
        <v>1.3277000000000001</v>
      </c>
      <c r="CN543" s="39" t="s">
        <v>1050</v>
      </c>
      <c r="DG543" s="39">
        <v>0.23</v>
      </c>
      <c r="DH543" s="39">
        <v>0.22800000000000001</v>
      </c>
      <c r="DS543" s="12"/>
      <c r="DU543" s="15"/>
      <c r="DV543" s="39">
        <v>1092</v>
      </c>
      <c r="DW543" s="39">
        <v>1169</v>
      </c>
      <c r="DX543" s="39" t="s">
        <v>539</v>
      </c>
      <c r="EQ543" s="39">
        <f t="shared" ref="EQ543:EQ547" si="199">22*0.012</f>
        <v>0.26400000000000001</v>
      </c>
      <c r="ER543" s="39">
        <f>29.1*0.012</f>
        <v>0.34920000000000001</v>
      </c>
      <c r="ES543" s="39" t="s">
        <v>543</v>
      </c>
      <c r="EX543" s="39">
        <v>99999</v>
      </c>
      <c r="FA543" s="39" t="s">
        <v>542</v>
      </c>
      <c r="FB543" s="39" t="s">
        <v>1049</v>
      </c>
      <c r="FC543" s="39">
        <v>29</v>
      </c>
    </row>
    <row r="544" spans="1:159" s="39" customFormat="1" x14ac:dyDescent="0.25">
      <c r="A544" s="39">
        <v>29</v>
      </c>
      <c r="B544" s="39" t="s">
        <v>1240</v>
      </c>
      <c r="C544" s="39" t="s">
        <v>534</v>
      </c>
      <c r="D544" s="39">
        <v>2009</v>
      </c>
      <c r="E544" s="39">
        <v>2006</v>
      </c>
      <c r="F544" s="39" t="s">
        <v>363</v>
      </c>
      <c r="G544" s="39" t="s">
        <v>535</v>
      </c>
      <c r="H544" s="39">
        <f t="shared" si="193"/>
        <v>43.333333333333336</v>
      </c>
      <c r="I544" s="39">
        <f t="shared" si="194"/>
        <v>-89.716666666666669</v>
      </c>
      <c r="J544" s="39">
        <v>250</v>
      </c>
      <c r="P544" s="58" t="s">
        <v>182</v>
      </c>
      <c r="Q544" s="58"/>
      <c r="R544" s="58"/>
      <c r="S544" s="58" t="s">
        <v>1647</v>
      </c>
      <c r="T544" s="58" t="s">
        <v>1654</v>
      </c>
      <c r="U544" s="39">
        <f t="shared" si="195"/>
        <v>1.417142857142857</v>
      </c>
      <c r="X544" s="39" t="s">
        <v>168</v>
      </c>
      <c r="Y544" s="39">
        <f t="shared" si="196"/>
        <v>6.8714285714285719</v>
      </c>
      <c r="AB544" s="39" t="s">
        <v>1565</v>
      </c>
      <c r="AC544" s="39" t="s">
        <v>1799</v>
      </c>
      <c r="AD544" s="153" t="str">
        <f t="shared" si="176"/>
        <v>Red_clover</v>
      </c>
      <c r="AE544" s="39" t="s">
        <v>536</v>
      </c>
      <c r="AG544" s="39" t="s">
        <v>527</v>
      </c>
      <c r="AH544" s="39" t="s">
        <v>527</v>
      </c>
      <c r="AI544" s="39" t="s">
        <v>230</v>
      </c>
      <c r="AM544" s="39" t="s">
        <v>544</v>
      </c>
      <c r="AN544" s="39" t="s">
        <v>544</v>
      </c>
      <c r="AP544" s="39" t="s">
        <v>537</v>
      </c>
      <c r="AQ544" s="39">
        <v>4</v>
      </c>
      <c r="AR544" s="39">
        <v>4</v>
      </c>
      <c r="AS544" s="39" t="s">
        <v>177</v>
      </c>
      <c r="AW544" s="63"/>
      <c r="BE544" s="39">
        <v>1.49</v>
      </c>
      <c r="BF544" s="39">
        <v>1.48</v>
      </c>
      <c r="BH544" s="39">
        <v>2.93</v>
      </c>
      <c r="BI544" s="39">
        <v>3.25</v>
      </c>
      <c r="BJ544" s="39" t="s">
        <v>1106</v>
      </c>
      <c r="BN544" s="39">
        <v>24.3</v>
      </c>
      <c r="BO544" s="39">
        <v>22.5</v>
      </c>
      <c r="BQ544" s="39">
        <v>145</v>
      </c>
      <c r="BR544" s="39">
        <v>92</v>
      </c>
      <c r="BT544" s="39">
        <v>7.1</v>
      </c>
      <c r="BU544" s="39">
        <v>7</v>
      </c>
      <c r="CF544" s="39">
        <v>293</v>
      </c>
      <c r="CG544" s="39">
        <v>279</v>
      </c>
      <c r="CH544" s="39" t="s">
        <v>540</v>
      </c>
      <c r="CL544" s="39">
        <v>1.3393999999999999</v>
      </c>
      <c r="CM544" s="39">
        <v>1.3549</v>
      </c>
      <c r="CN544" s="39" t="s">
        <v>1050</v>
      </c>
      <c r="DG544" s="39">
        <v>0.23</v>
      </c>
      <c r="DH544" s="39">
        <v>0.22700000000000001</v>
      </c>
      <c r="DS544" s="12"/>
      <c r="DU544" s="15"/>
      <c r="DV544" s="39">
        <v>1092</v>
      </c>
      <c r="DW544" s="39">
        <v>1148</v>
      </c>
      <c r="DX544" s="39" t="s">
        <v>539</v>
      </c>
      <c r="EQ544" s="39">
        <f t="shared" si="199"/>
        <v>0.26400000000000001</v>
      </c>
      <c r="ER544" s="39">
        <f>43.9*0.012</f>
        <v>0.52680000000000005</v>
      </c>
      <c r="ES544" s="39" t="s">
        <v>543</v>
      </c>
      <c r="EX544" s="39">
        <v>99999</v>
      </c>
      <c r="FA544" s="39" t="s">
        <v>542</v>
      </c>
      <c r="FB544" s="39" t="s">
        <v>1049</v>
      </c>
      <c r="FC544" s="39">
        <v>29</v>
      </c>
    </row>
    <row r="545" spans="1:159" s="39" customFormat="1" x14ac:dyDescent="0.25">
      <c r="A545" s="39">
        <v>29</v>
      </c>
      <c r="B545" s="39" t="s">
        <v>1240</v>
      </c>
      <c r="C545" s="39" t="s">
        <v>534</v>
      </c>
      <c r="D545" s="39">
        <v>2009</v>
      </c>
      <c r="E545" s="39">
        <v>2006</v>
      </c>
      <c r="F545" s="39" t="s">
        <v>363</v>
      </c>
      <c r="G545" s="39" t="s">
        <v>535</v>
      </c>
      <c r="H545" s="39">
        <f t="shared" si="193"/>
        <v>43.333333333333336</v>
      </c>
      <c r="I545" s="39">
        <f t="shared" si="194"/>
        <v>-89.716666666666669</v>
      </c>
      <c r="J545" s="39">
        <v>250</v>
      </c>
      <c r="P545" s="58" t="s">
        <v>182</v>
      </c>
      <c r="Q545" s="58"/>
      <c r="R545" s="58"/>
      <c r="S545" s="58" t="s">
        <v>1647</v>
      </c>
      <c r="T545" s="58" t="s">
        <v>1654</v>
      </c>
      <c r="U545" s="39">
        <f t="shared" si="195"/>
        <v>1.417142857142857</v>
      </c>
      <c r="X545" s="39" t="s">
        <v>168</v>
      </c>
      <c r="Y545" s="39">
        <f t="shared" si="196"/>
        <v>6.8714285714285719</v>
      </c>
      <c r="AB545" s="39" t="s">
        <v>1565</v>
      </c>
      <c r="AC545" s="39" t="s">
        <v>1799</v>
      </c>
      <c r="AD545" s="153" t="str">
        <f t="shared" si="176"/>
        <v>Red_clover</v>
      </c>
      <c r="AE545" s="39" t="s">
        <v>167</v>
      </c>
      <c r="AG545" s="39" t="s">
        <v>527</v>
      </c>
      <c r="AH545" s="39" t="s">
        <v>527</v>
      </c>
      <c r="AI545" s="39" t="s">
        <v>230</v>
      </c>
      <c r="AM545" s="39" t="s">
        <v>544</v>
      </c>
      <c r="AN545" s="39" t="s">
        <v>544</v>
      </c>
      <c r="AP545" s="39" t="s">
        <v>537</v>
      </c>
      <c r="AQ545" s="39">
        <v>4</v>
      </c>
      <c r="AR545" s="39">
        <v>4</v>
      </c>
      <c r="AS545" s="39" t="s">
        <v>177</v>
      </c>
      <c r="AW545" s="63"/>
      <c r="BE545" s="39">
        <v>1.49</v>
      </c>
      <c r="BF545" s="39">
        <v>1.43</v>
      </c>
      <c r="BH545" s="39">
        <v>2.93</v>
      </c>
      <c r="BI545" s="39">
        <v>3.3299999999999996</v>
      </c>
      <c r="BJ545" s="39" t="s">
        <v>1106</v>
      </c>
      <c r="BN545" s="39">
        <v>24.3</v>
      </c>
      <c r="BO545" s="39">
        <v>20.8</v>
      </c>
      <c r="BQ545" s="39">
        <v>145</v>
      </c>
      <c r="BR545" s="39">
        <v>104</v>
      </c>
      <c r="BT545" s="39">
        <v>7.1</v>
      </c>
      <c r="BU545" s="39">
        <v>6.7</v>
      </c>
      <c r="CF545" s="39">
        <v>293</v>
      </c>
      <c r="CG545" s="39">
        <v>365</v>
      </c>
      <c r="CH545" s="39" t="s">
        <v>540</v>
      </c>
      <c r="CL545" s="39">
        <v>1.3393999999999999</v>
      </c>
      <c r="CM545" s="39">
        <v>1.38</v>
      </c>
      <c r="CN545" s="39" t="s">
        <v>1050</v>
      </c>
      <c r="DG545" s="39">
        <v>0.23</v>
      </c>
      <c r="DH545" s="39">
        <v>0.22700000000000001</v>
      </c>
      <c r="DS545" s="12"/>
      <c r="DU545" s="15"/>
      <c r="DV545" s="39">
        <v>1092</v>
      </c>
      <c r="DW545" s="39">
        <v>1189</v>
      </c>
      <c r="DX545" s="39" t="s">
        <v>539</v>
      </c>
      <c r="EQ545" s="39">
        <f t="shared" si="199"/>
        <v>0.26400000000000001</v>
      </c>
      <c r="ER545" s="39">
        <f>34.3*0.012</f>
        <v>0.41159999999999997</v>
      </c>
      <c r="ES545" s="39" t="s">
        <v>543</v>
      </c>
      <c r="EX545" s="39">
        <v>99999</v>
      </c>
      <c r="FA545" s="39" t="s">
        <v>542</v>
      </c>
      <c r="FB545" s="39" t="s">
        <v>1049</v>
      </c>
      <c r="FC545" s="39">
        <v>29</v>
      </c>
    </row>
    <row r="546" spans="1:159" s="39" customFormat="1" x14ac:dyDescent="0.25">
      <c r="A546" s="39">
        <v>29</v>
      </c>
      <c r="B546" s="39" t="s">
        <v>1240</v>
      </c>
      <c r="C546" s="39" t="s">
        <v>534</v>
      </c>
      <c r="D546" s="39">
        <v>2009</v>
      </c>
      <c r="E546" s="39">
        <v>2006</v>
      </c>
      <c r="F546" s="39" t="s">
        <v>363</v>
      </c>
      <c r="G546" s="39" t="s">
        <v>535</v>
      </c>
      <c r="H546" s="39">
        <f t="shared" si="193"/>
        <v>43.333333333333336</v>
      </c>
      <c r="I546" s="39">
        <f t="shared" si="194"/>
        <v>-89.716666666666669</v>
      </c>
      <c r="J546" s="39">
        <v>250</v>
      </c>
      <c r="P546" s="58" t="s">
        <v>182</v>
      </c>
      <c r="Q546" s="58"/>
      <c r="R546" s="58"/>
      <c r="S546" s="58" t="s">
        <v>1647</v>
      </c>
      <c r="T546" s="58" t="s">
        <v>1654</v>
      </c>
      <c r="U546" s="39">
        <f t="shared" si="195"/>
        <v>1.417142857142857</v>
      </c>
      <c r="X546" s="39" t="s">
        <v>168</v>
      </c>
      <c r="Y546" s="39">
        <f t="shared" si="196"/>
        <v>6.8714285714285719</v>
      </c>
      <c r="AB546" s="39" t="s">
        <v>1565</v>
      </c>
      <c r="AC546" s="39" t="s">
        <v>1388</v>
      </c>
      <c r="AD546" s="153" t="str">
        <f t="shared" si="176"/>
        <v>ItalianRyegrass</v>
      </c>
      <c r="AE546" s="39" t="s">
        <v>167</v>
      </c>
      <c r="AG546" s="39" t="s">
        <v>527</v>
      </c>
      <c r="AH546" s="39" t="s">
        <v>527</v>
      </c>
      <c r="AI546" s="39" t="s">
        <v>230</v>
      </c>
      <c r="AM546" s="39" t="s">
        <v>544</v>
      </c>
      <c r="AN546" s="39" t="s">
        <v>544</v>
      </c>
      <c r="AP546" s="39" t="s">
        <v>537</v>
      </c>
      <c r="AQ546" s="39">
        <v>4</v>
      </c>
      <c r="AR546" s="39">
        <v>4</v>
      </c>
      <c r="AS546" s="39" t="s">
        <v>177</v>
      </c>
      <c r="AW546" s="63"/>
      <c r="BE546" s="39">
        <v>1.49</v>
      </c>
      <c r="BF546" s="39">
        <v>1.44</v>
      </c>
      <c r="BH546" s="39">
        <v>2.93</v>
      </c>
      <c r="BI546" s="39">
        <v>3.3</v>
      </c>
      <c r="BJ546" s="39" t="s">
        <v>1106</v>
      </c>
      <c r="BN546" s="39">
        <v>24.3</v>
      </c>
      <c r="BO546" s="39">
        <v>22</v>
      </c>
      <c r="BQ546" s="39">
        <v>145</v>
      </c>
      <c r="BR546" s="39">
        <v>132</v>
      </c>
      <c r="BT546" s="39">
        <v>7.1</v>
      </c>
      <c r="BU546" s="39">
        <v>7.2</v>
      </c>
      <c r="CF546" s="39">
        <v>293</v>
      </c>
      <c r="CG546" s="39">
        <v>355</v>
      </c>
      <c r="CH546" s="39" t="s">
        <v>540</v>
      </c>
      <c r="CL546" s="39">
        <v>1.3393999999999999</v>
      </c>
      <c r="CM546" s="39">
        <v>1.49</v>
      </c>
      <c r="CN546" s="39" t="s">
        <v>1050</v>
      </c>
      <c r="DG546" s="39">
        <v>0.23</v>
      </c>
      <c r="DH546" s="39">
        <v>0.22700000000000001</v>
      </c>
      <c r="DS546" s="12"/>
      <c r="DU546" s="15"/>
      <c r="DV546" s="39">
        <v>1092</v>
      </c>
      <c r="DW546" s="39">
        <v>1229</v>
      </c>
      <c r="DX546" s="39" t="s">
        <v>539</v>
      </c>
      <c r="EQ546" s="39">
        <f t="shared" si="199"/>
        <v>0.26400000000000001</v>
      </c>
      <c r="ER546" s="39">
        <f>66*0.012</f>
        <v>0.79200000000000004</v>
      </c>
      <c r="ES546" s="39" t="s">
        <v>543</v>
      </c>
      <c r="EX546" s="39">
        <v>99999</v>
      </c>
      <c r="FA546" s="39" t="s">
        <v>542</v>
      </c>
      <c r="FB546" s="39" t="s">
        <v>1049</v>
      </c>
      <c r="FC546" s="39">
        <v>29</v>
      </c>
    </row>
    <row r="547" spans="1:159" s="39" customFormat="1" x14ac:dyDescent="0.25">
      <c r="A547" s="39">
        <v>29</v>
      </c>
      <c r="B547" s="39" t="s">
        <v>1240</v>
      </c>
      <c r="C547" s="39" t="s">
        <v>534</v>
      </c>
      <c r="D547" s="39">
        <v>2009</v>
      </c>
      <c r="E547" s="39">
        <v>2006</v>
      </c>
      <c r="F547" s="39" t="s">
        <v>363</v>
      </c>
      <c r="G547" s="39" t="s">
        <v>535</v>
      </c>
      <c r="H547" s="39">
        <f t="shared" si="193"/>
        <v>43.333333333333336</v>
      </c>
      <c r="I547" s="39">
        <f t="shared" si="194"/>
        <v>-89.716666666666669</v>
      </c>
      <c r="J547" s="39">
        <v>250</v>
      </c>
      <c r="P547" s="58" t="s">
        <v>182</v>
      </c>
      <c r="Q547" s="58"/>
      <c r="R547" s="58"/>
      <c r="S547" s="58" t="s">
        <v>1647</v>
      </c>
      <c r="T547" s="58" t="s">
        <v>1654</v>
      </c>
      <c r="U547" s="39">
        <f t="shared" si="195"/>
        <v>1.417142857142857</v>
      </c>
      <c r="X547" s="39" t="s">
        <v>168</v>
      </c>
      <c r="Y547" s="39">
        <f t="shared" si="196"/>
        <v>6.8714285714285719</v>
      </c>
      <c r="AB547" s="39" t="s">
        <v>1565</v>
      </c>
      <c r="AC547" s="39" t="s">
        <v>1389</v>
      </c>
      <c r="AD547" s="153" t="str">
        <f t="shared" si="176"/>
        <v>WinterRye</v>
      </c>
      <c r="AE547" s="39" t="s">
        <v>167</v>
      </c>
      <c r="AG547" s="39" t="s">
        <v>527</v>
      </c>
      <c r="AH547" s="39" t="s">
        <v>527</v>
      </c>
      <c r="AI547" s="39" t="s">
        <v>230</v>
      </c>
      <c r="AM547" s="39" t="s">
        <v>544</v>
      </c>
      <c r="AN547" s="39" t="s">
        <v>544</v>
      </c>
      <c r="AP547" s="39" t="s">
        <v>537</v>
      </c>
      <c r="AQ547" s="39">
        <v>4</v>
      </c>
      <c r="AR547" s="39">
        <v>4</v>
      </c>
      <c r="AS547" s="39" t="s">
        <v>177</v>
      </c>
      <c r="AW547" s="63"/>
      <c r="BE547" s="39">
        <v>1.49</v>
      </c>
      <c r="BF547" s="39">
        <v>1.45</v>
      </c>
      <c r="BH547" s="39">
        <v>2.93</v>
      </c>
      <c r="BI547" s="39">
        <v>3.13</v>
      </c>
      <c r="BJ547" s="39" t="s">
        <v>1106</v>
      </c>
      <c r="BN547" s="39">
        <v>24.3</v>
      </c>
      <c r="BO547" s="39">
        <v>18.8</v>
      </c>
      <c r="BQ547" s="39">
        <v>145</v>
      </c>
      <c r="BR547" s="39">
        <v>147</v>
      </c>
      <c r="BT547" s="39">
        <v>7.1</v>
      </c>
      <c r="BU547" s="39">
        <v>6.8</v>
      </c>
      <c r="CF547" s="39">
        <v>293</v>
      </c>
      <c r="CG547" s="39">
        <v>302</v>
      </c>
      <c r="CH547" s="39" t="s">
        <v>540</v>
      </c>
      <c r="CL547" s="39">
        <v>1.3393999999999999</v>
      </c>
      <c r="CM547" s="39">
        <v>1.53</v>
      </c>
      <c r="CN547" s="39" t="s">
        <v>1050</v>
      </c>
      <c r="DG547" s="39">
        <v>0.23</v>
      </c>
      <c r="DH547" s="39">
        <v>0.222</v>
      </c>
      <c r="DS547" s="12"/>
      <c r="DU547" s="15"/>
      <c r="DV547" s="39">
        <v>1092</v>
      </c>
      <c r="DW547" s="39">
        <v>1217</v>
      </c>
      <c r="DX547" s="39" t="s">
        <v>539</v>
      </c>
      <c r="EQ547" s="39">
        <f t="shared" si="199"/>
        <v>0.26400000000000001</v>
      </c>
      <c r="ER547" s="39">
        <f>41.7*0.012</f>
        <v>0.50040000000000007</v>
      </c>
      <c r="ES547" s="39" t="s">
        <v>543</v>
      </c>
      <c r="EX547" s="39">
        <v>99999</v>
      </c>
      <c r="FA547" s="39" t="s">
        <v>542</v>
      </c>
      <c r="FB547" s="39" t="s">
        <v>1049</v>
      </c>
      <c r="FC547" s="39">
        <v>29</v>
      </c>
    </row>
    <row r="548" spans="1:159" s="35" customFormat="1" x14ac:dyDescent="0.25">
      <c r="A548" s="35">
        <v>29</v>
      </c>
      <c r="B548" s="35" t="s">
        <v>1240</v>
      </c>
      <c r="C548" s="35" t="s">
        <v>534</v>
      </c>
      <c r="D548" s="35">
        <v>2009</v>
      </c>
      <c r="E548" s="35">
        <v>2006</v>
      </c>
      <c r="F548" s="35" t="s">
        <v>363</v>
      </c>
      <c r="G548" s="35" t="s">
        <v>535</v>
      </c>
      <c r="H548" s="35">
        <f t="shared" si="193"/>
        <v>43.333333333333336</v>
      </c>
      <c r="I548" s="35">
        <f t="shared" si="194"/>
        <v>-89.716666666666669</v>
      </c>
      <c r="J548" s="35">
        <v>250</v>
      </c>
      <c r="P548" s="54" t="s">
        <v>182</v>
      </c>
      <c r="Q548" s="54"/>
      <c r="R548" s="54"/>
      <c r="S548" s="54" t="s">
        <v>1647</v>
      </c>
      <c r="T548" s="54" t="s">
        <v>1654</v>
      </c>
      <c r="U548" s="35">
        <f t="shared" si="195"/>
        <v>1.417142857142857</v>
      </c>
      <c r="X548" s="35" t="s">
        <v>168</v>
      </c>
      <c r="Y548" s="35">
        <f t="shared" si="196"/>
        <v>6.8714285714285719</v>
      </c>
      <c r="AB548" s="35" t="s">
        <v>1565</v>
      </c>
      <c r="AC548" s="35" t="s">
        <v>1819</v>
      </c>
      <c r="AD548" s="153" t="str">
        <f t="shared" si="176"/>
        <v>Kura_clover</v>
      </c>
      <c r="AE548" s="35" t="s">
        <v>536</v>
      </c>
      <c r="AG548" s="35" t="s">
        <v>527</v>
      </c>
      <c r="AH548" s="35" t="s">
        <v>527</v>
      </c>
      <c r="AI548" s="35" t="s">
        <v>230</v>
      </c>
      <c r="AM548" s="35" t="s">
        <v>544</v>
      </c>
      <c r="AN548" s="35" t="s">
        <v>544</v>
      </c>
      <c r="AP548" s="35" t="s">
        <v>538</v>
      </c>
      <c r="AQ548" s="35">
        <v>4</v>
      </c>
      <c r="AR548" s="35">
        <v>4</v>
      </c>
      <c r="AS548" s="35" t="s">
        <v>177</v>
      </c>
      <c r="AW548" s="63"/>
      <c r="BE548" s="35">
        <v>1.4</v>
      </c>
      <c r="BF548" s="35">
        <v>1.45</v>
      </c>
      <c r="BH548" s="35">
        <v>3.38</v>
      </c>
      <c r="BI548" s="35">
        <v>3.3</v>
      </c>
      <c r="BJ548" s="35" t="s">
        <v>1106</v>
      </c>
      <c r="BN548" s="35">
        <v>28</v>
      </c>
      <c r="BO548" s="35">
        <v>20.8</v>
      </c>
      <c r="BQ548" s="35">
        <v>120</v>
      </c>
      <c r="BR548" s="35">
        <v>104</v>
      </c>
      <c r="BT548" s="35">
        <v>6.7</v>
      </c>
      <c r="BU548" s="35">
        <v>6.8</v>
      </c>
      <c r="CF548" s="35">
        <v>369</v>
      </c>
      <c r="CG548" s="35">
        <v>313</v>
      </c>
      <c r="CH548" s="35" t="s">
        <v>540</v>
      </c>
      <c r="CL548" s="35">
        <v>1.4172</v>
      </c>
      <c r="CM548" s="35">
        <v>1.2694000000000001</v>
      </c>
      <c r="CN548" s="35" t="s">
        <v>1050</v>
      </c>
      <c r="DG548" s="35">
        <v>0.23</v>
      </c>
      <c r="DH548" s="35">
        <v>0.23499999999999999</v>
      </c>
      <c r="DS548" s="12"/>
      <c r="DU548" s="15"/>
      <c r="DV548" s="35">
        <v>1172</v>
      </c>
      <c r="DW548" s="35">
        <v>1178</v>
      </c>
      <c r="DX548" s="35" t="s">
        <v>539</v>
      </c>
      <c r="EQ548" s="35">
        <f>40.7*0.012</f>
        <v>0.48840000000000006</v>
      </c>
      <c r="ER548" s="35">
        <f>54.3*0.012</f>
        <v>0.65159999999999996</v>
      </c>
      <c r="ES548" s="35" t="s">
        <v>543</v>
      </c>
      <c r="EX548" s="39">
        <v>99999</v>
      </c>
      <c r="FA548" s="35" t="s">
        <v>542</v>
      </c>
      <c r="FB548" s="35" t="s">
        <v>1049</v>
      </c>
      <c r="FC548" s="35">
        <v>29</v>
      </c>
    </row>
    <row r="549" spans="1:159" s="35" customFormat="1" x14ac:dyDescent="0.25">
      <c r="A549" s="35">
        <v>29</v>
      </c>
      <c r="B549" s="35" t="s">
        <v>1240</v>
      </c>
      <c r="C549" s="35" t="s">
        <v>534</v>
      </c>
      <c r="D549" s="35">
        <v>2009</v>
      </c>
      <c r="E549" s="35">
        <v>2006</v>
      </c>
      <c r="F549" s="35" t="s">
        <v>363</v>
      </c>
      <c r="G549" s="35" t="s">
        <v>535</v>
      </c>
      <c r="H549" s="35">
        <f t="shared" si="193"/>
        <v>43.333333333333336</v>
      </c>
      <c r="I549" s="35">
        <f t="shared" si="194"/>
        <v>-89.716666666666669</v>
      </c>
      <c r="J549" s="35">
        <v>250</v>
      </c>
      <c r="P549" s="54" t="s">
        <v>182</v>
      </c>
      <c r="Q549" s="54"/>
      <c r="R549" s="54"/>
      <c r="S549" s="54" t="s">
        <v>1647</v>
      </c>
      <c r="T549" s="54" t="s">
        <v>1654</v>
      </c>
      <c r="U549" s="35">
        <f t="shared" si="195"/>
        <v>1.417142857142857</v>
      </c>
      <c r="X549" s="35" t="s">
        <v>168</v>
      </c>
      <c r="Y549" s="35">
        <f t="shared" si="196"/>
        <v>6.8714285714285719</v>
      </c>
      <c r="AB549" s="35" t="s">
        <v>1565</v>
      </c>
      <c r="AC549" s="35" t="s">
        <v>1819</v>
      </c>
      <c r="AD549" s="153" t="str">
        <f t="shared" si="176"/>
        <v>Kura_clover</v>
      </c>
      <c r="AE549" s="35" t="s">
        <v>167</v>
      </c>
      <c r="AG549" s="35" t="s">
        <v>527</v>
      </c>
      <c r="AH549" s="35" t="s">
        <v>527</v>
      </c>
      <c r="AI549" s="35" t="s">
        <v>230</v>
      </c>
      <c r="AM549" s="35" t="s">
        <v>544</v>
      </c>
      <c r="AN549" s="35" t="s">
        <v>544</v>
      </c>
      <c r="AP549" s="35" t="s">
        <v>538</v>
      </c>
      <c r="AQ549" s="35">
        <v>4</v>
      </c>
      <c r="AR549" s="35">
        <v>4</v>
      </c>
      <c r="AS549" s="35" t="s">
        <v>177</v>
      </c>
      <c r="AW549" s="63"/>
      <c r="BE549" s="35">
        <v>1.4</v>
      </c>
      <c r="BF549" s="35">
        <v>1.42</v>
      </c>
      <c r="BH549" s="35">
        <v>3.38</v>
      </c>
      <c r="BI549" s="35">
        <v>3.38</v>
      </c>
      <c r="BJ549" s="35" t="s">
        <v>1106</v>
      </c>
      <c r="BN549" s="35">
        <v>28</v>
      </c>
      <c r="BO549" s="35">
        <v>19</v>
      </c>
      <c r="BQ549" s="35">
        <v>120</v>
      </c>
      <c r="BR549" s="35">
        <v>121</v>
      </c>
      <c r="BT549" s="35">
        <v>6.7</v>
      </c>
      <c r="BU549" s="35">
        <v>6.6</v>
      </c>
      <c r="CF549" s="35">
        <v>369</v>
      </c>
      <c r="CG549" s="35">
        <v>404</v>
      </c>
      <c r="CH549" s="35" t="s">
        <v>540</v>
      </c>
      <c r="CL549" s="35">
        <v>1.4172</v>
      </c>
      <c r="CM549" s="35">
        <v>1.3277000000000001</v>
      </c>
      <c r="CN549" s="35" t="s">
        <v>1050</v>
      </c>
      <c r="DG549" s="35">
        <v>0.23</v>
      </c>
      <c r="DH549" s="35">
        <v>0.22800000000000001</v>
      </c>
      <c r="DS549" s="12"/>
      <c r="DU549" s="15"/>
      <c r="DV549" s="35">
        <v>1172</v>
      </c>
      <c r="DW549" s="35">
        <v>1169</v>
      </c>
      <c r="DX549" s="35" t="s">
        <v>539</v>
      </c>
      <c r="EQ549" s="35">
        <f t="shared" ref="EQ549:EQ553" si="200">40.7*0.012</f>
        <v>0.48840000000000006</v>
      </c>
      <c r="ER549" s="35">
        <f>29.1*0.012</f>
        <v>0.34920000000000001</v>
      </c>
      <c r="ES549" s="35" t="s">
        <v>543</v>
      </c>
      <c r="EX549" s="39">
        <v>99999</v>
      </c>
      <c r="FA549" s="35" t="s">
        <v>542</v>
      </c>
      <c r="FB549" s="35" t="s">
        <v>1049</v>
      </c>
      <c r="FC549" s="35">
        <v>29</v>
      </c>
    </row>
    <row r="550" spans="1:159" s="35" customFormat="1" x14ac:dyDescent="0.25">
      <c r="A550" s="35">
        <v>29</v>
      </c>
      <c r="B550" s="35" t="s">
        <v>1240</v>
      </c>
      <c r="C550" s="35" t="s">
        <v>534</v>
      </c>
      <c r="D550" s="35">
        <v>2009</v>
      </c>
      <c r="E550" s="35">
        <v>2006</v>
      </c>
      <c r="F550" s="35" t="s">
        <v>363</v>
      </c>
      <c r="G550" s="35" t="s">
        <v>535</v>
      </c>
      <c r="H550" s="35">
        <f t="shared" si="193"/>
        <v>43.333333333333336</v>
      </c>
      <c r="I550" s="35">
        <f t="shared" si="194"/>
        <v>-89.716666666666669</v>
      </c>
      <c r="J550" s="35">
        <v>250</v>
      </c>
      <c r="P550" s="54" t="s">
        <v>182</v>
      </c>
      <c r="Q550" s="54"/>
      <c r="R550" s="54"/>
      <c r="S550" s="54" t="s">
        <v>1647</v>
      </c>
      <c r="T550" s="54" t="s">
        <v>1654</v>
      </c>
      <c r="U550" s="35">
        <f t="shared" si="195"/>
        <v>1.417142857142857</v>
      </c>
      <c r="X550" s="35" t="s">
        <v>168</v>
      </c>
      <c r="Y550" s="35">
        <f t="shared" si="196"/>
        <v>6.8714285714285719</v>
      </c>
      <c r="AB550" s="35" t="s">
        <v>1565</v>
      </c>
      <c r="AC550" s="35" t="s">
        <v>1799</v>
      </c>
      <c r="AD550" s="153" t="str">
        <f t="shared" si="176"/>
        <v>Red_clover</v>
      </c>
      <c r="AE550" s="35" t="s">
        <v>536</v>
      </c>
      <c r="AG550" s="35" t="s">
        <v>527</v>
      </c>
      <c r="AH550" s="35" t="s">
        <v>527</v>
      </c>
      <c r="AI550" s="35" t="s">
        <v>230</v>
      </c>
      <c r="AM550" s="35" t="s">
        <v>544</v>
      </c>
      <c r="AN550" s="35" t="s">
        <v>544</v>
      </c>
      <c r="AP550" s="35" t="s">
        <v>538</v>
      </c>
      <c r="AQ550" s="35">
        <v>4</v>
      </c>
      <c r="AR550" s="35">
        <v>4</v>
      </c>
      <c r="AS550" s="35" t="s">
        <v>177</v>
      </c>
      <c r="AW550" s="63"/>
      <c r="BE550" s="35">
        <v>1.4</v>
      </c>
      <c r="BF550" s="35">
        <v>1.48</v>
      </c>
      <c r="BH550" s="35">
        <v>3.38</v>
      </c>
      <c r="BI550" s="35">
        <v>3.25</v>
      </c>
      <c r="BJ550" s="35" t="s">
        <v>1106</v>
      </c>
      <c r="BN550" s="35">
        <v>28</v>
      </c>
      <c r="BO550" s="35">
        <v>22.5</v>
      </c>
      <c r="BQ550" s="35">
        <v>120</v>
      </c>
      <c r="BR550" s="35">
        <v>92</v>
      </c>
      <c r="BT550" s="35">
        <v>6.7</v>
      </c>
      <c r="BU550" s="35">
        <v>7</v>
      </c>
      <c r="CF550" s="35">
        <v>369</v>
      </c>
      <c r="CG550" s="35">
        <v>279</v>
      </c>
      <c r="CH550" s="35" t="s">
        <v>540</v>
      </c>
      <c r="CL550" s="35">
        <v>1.4172</v>
      </c>
      <c r="CM550" s="35">
        <v>1.3549</v>
      </c>
      <c r="CN550" s="35" t="s">
        <v>1050</v>
      </c>
      <c r="DG550" s="35">
        <v>0.23</v>
      </c>
      <c r="DH550" s="35">
        <v>0.22700000000000001</v>
      </c>
      <c r="DS550" s="12"/>
      <c r="DU550" s="15"/>
      <c r="DV550" s="35">
        <v>1172</v>
      </c>
      <c r="DW550" s="35">
        <v>1148</v>
      </c>
      <c r="DX550" s="35" t="s">
        <v>539</v>
      </c>
      <c r="EQ550" s="35">
        <f t="shared" si="200"/>
        <v>0.48840000000000006</v>
      </c>
      <c r="ER550" s="35">
        <f>43.9*0.012</f>
        <v>0.52680000000000005</v>
      </c>
      <c r="ES550" s="35" t="s">
        <v>543</v>
      </c>
      <c r="EX550" s="39">
        <v>99999</v>
      </c>
      <c r="FA550" s="35" t="s">
        <v>542</v>
      </c>
      <c r="FB550" s="35" t="s">
        <v>1049</v>
      </c>
      <c r="FC550" s="35">
        <v>29</v>
      </c>
    </row>
    <row r="551" spans="1:159" s="35" customFormat="1" x14ac:dyDescent="0.25">
      <c r="A551" s="35">
        <v>29</v>
      </c>
      <c r="B551" s="35" t="s">
        <v>1240</v>
      </c>
      <c r="C551" s="35" t="s">
        <v>534</v>
      </c>
      <c r="D551" s="35">
        <v>2009</v>
      </c>
      <c r="E551" s="35">
        <v>2006</v>
      </c>
      <c r="F551" s="35" t="s">
        <v>363</v>
      </c>
      <c r="G551" s="35" t="s">
        <v>535</v>
      </c>
      <c r="H551" s="35">
        <f t="shared" si="193"/>
        <v>43.333333333333336</v>
      </c>
      <c r="I551" s="35">
        <f t="shared" si="194"/>
        <v>-89.716666666666669</v>
      </c>
      <c r="J551" s="35">
        <v>250</v>
      </c>
      <c r="P551" s="54" t="s">
        <v>182</v>
      </c>
      <c r="Q551" s="54"/>
      <c r="R551" s="54"/>
      <c r="S551" s="54" t="s">
        <v>1647</v>
      </c>
      <c r="T551" s="54" t="s">
        <v>1654</v>
      </c>
      <c r="U551" s="35">
        <f t="shared" si="195"/>
        <v>1.417142857142857</v>
      </c>
      <c r="X551" s="35" t="s">
        <v>168</v>
      </c>
      <c r="Y551" s="35">
        <f t="shared" si="196"/>
        <v>6.8714285714285719</v>
      </c>
      <c r="AB551" s="35" t="s">
        <v>1565</v>
      </c>
      <c r="AC551" s="35" t="s">
        <v>1799</v>
      </c>
      <c r="AD551" s="153" t="str">
        <f t="shared" si="176"/>
        <v>Red_clover</v>
      </c>
      <c r="AE551" s="35" t="s">
        <v>167</v>
      </c>
      <c r="AG551" s="35" t="s">
        <v>527</v>
      </c>
      <c r="AH551" s="35" t="s">
        <v>527</v>
      </c>
      <c r="AI551" s="35" t="s">
        <v>230</v>
      </c>
      <c r="AM551" s="35" t="s">
        <v>544</v>
      </c>
      <c r="AN551" s="35" t="s">
        <v>544</v>
      </c>
      <c r="AP551" s="35" t="s">
        <v>538</v>
      </c>
      <c r="AQ551" s="35">
        <v>4</v>
      </c>
      <c r="AR551" s="35">
        <v>4</v>
      </c>
      <c r="AS551" s="35" t="s">
        <v>177</v>
      </c>
      <c r="AW551" s="63"/>
      <c r="BE551" s="35">
        <v>1.4</v>
      </c>
      <c r="BF551" s="35">
        <v>1.43</v>
      </c>
      <c r="BH551" s="35">
        <v>3.38</v>
      </c>
      <c r="BI551" s="35">
        <v>3.3299999999999996</v>
      </c>
      <c r="BJ551" s="35" t="s">
        <v>1106</v>
      </c>
      <c r="BN551" s="35">
        <v>28</v>
      </c>
      <c r="BO551" s="35">
        <v>20.8</v>
      </c>
      <c r="BQ551" s="35">
        <v>120</v>
      </c>
      <c r="BR551" s="35">
        <v>104</v>
      </c>
      <c r="BT551" s="35">
        <v>6.7</v>
      </c>
      <c r="BU551" s="35">
        <v>6.7</v>
      </c>
      <c r="CF551" s="35">
        <v>369</v>
      </c>
      <c r="CG551" s="35">
        <v>365</v>
      </c>
      <c r="CH551" s="35" t="s">
        <v>540</v>
      </c>
      <c r="CL551" s="35">
        <v>1.4172</v>
      </c>
      <c r="CM551" s="35">
        <v>1.38</v>
      </c>
      <c r="CN551" s="35" t="s">
        <v>1050</v>
      </c>
      <c r="DG551" s="35">
        <v>0.23</v>
      </c>
      <c r="DH551" s="35">
        <v>0.22700000000000001</v>
      </c>
      <c r="DS551" s="12"/>
      <c r="DU551" s="15"/>
      <c r="DV551" s="35">
        <v>1172</v>
      </c>
      <c r="DW551" s="35">
        <v>1189</v>
      </c>
      <c r="DX551" s="35" t="s">
        <v>539</v>
      </c>
      <c r="EQ551" s="35">
        <f t="shared" si="200"/>
        <v>0.48840000000000006</v>
      </c>
      <c r="ER551" s="35">
        <f>34.3*0.012</f>
        <v>0.41159999999999997</v>
      </c>
      <c r="ES551" s="35" t="s">
        <v>543</v>
      </c>
      <c r="EX551" s="39">
        <v>99999</v>
      </c>
      <c r="FA551" s="35" t="s">
        <v>542</v>
      </c>
      <c r="FB551" s="35" t="s">
        <v>1049</v>
      </c>
      <c r="FC551" s="35">
        <v>29</v>
      </c>
    </row>
    <row r="552" spans="1:159" s="35" customFormat="1" x14ac:dyDescent="0.25">
      <c r="A552" s="35">
        <v>29</v>
      </c>
      <c r="B552" s="35" t="s">
        <v>1240</v>
      </c>
      <c r="C552" s="35" t="s">
        <v>534</v>
      </c>
      <c r="D552" s="35">
        <v>2009</v>
      </c>
      <c r="E552" s="35">
        <v>2006</v>
      </c>
      <c r="F552" s="35" t="s">
        <v>363</v>
      </c>
      <c r="G552" s="35" t="s">
        <v>535</v>
      </c>
      <c r="H552" s="35">
        <f t="shared" si="193"/>
        <v>43.333333333333336</v>
      </c>
      <c r="I552" s="35">
        <f t="shared" si="194"/>
        <v>-89.716666666666669</v>
      </c>
      <c r="J552" s="35">
        <v>250</v>
      </c>
      <c r="P552" s="54" t="s">
        <v>182</v>
      </c>
      <c r="Q552" s="54"/>
      <c r="R552" s="54"/>
      <c r="S552" s="54" t="s">
        <v>1647</v>
      </c>
      <c r="T552" s="54" t="s">
        <v>1654</v>
      </c>
      <c r="U552" s="35">
        <f t="shared" si="195"/>
        <v>1.417142857142857</v>
      </c>
      <c r="X552" s="35" t="s">
        <v>168</v>
      </c>
      <c r="Y552" s="35">
        <f t="shared" si="196"/>
        <v>6.8714285714285719</v>
      </c>
      <c r="AB552" s="35" t="s">
        <v>1565</v>
      </c>
      <c r="AC552" s="35" t="s">
        <v>1388</v>
      </c>
      <c r="AD552" s="153" t="str">
        <f t="shared" si="176"/>
        <v>ItalianRyegrass</v>
      </c>
      <c r="AE552" s="35" t="s">
        <v>167</v>
      </c>
      <c r="AG552" s="35" t="s">
        <v>527</v>
      </c>
      <c r="AH552" s="35" t="s">
        <v>527</v>
      </c>
      <c r="AI552" s="35" t="s">
        <v>230</v>
      </c>
      <c r="AM552" s="35" t="s">
        <v>544</v>
      </c>
      <c r="AN552" s="35" t="s">
        <v>544</v>
      </c>
      <c r="AP552" s="35" t="s">
        <v>538</v>
      </c>
      <c r="AQ552" s="35">
        <v>4</v>
      </c>
      <c r="AR552" s="35">
        <v>4</v>
      </c>
      <c r="AS552" s="35" t="s">
        <v>177</v>
      </c>
      <c r="AW552" s="63"/>
      <c r="BE552" s="35">
        <v>1.4</v>
      </c>
      <c r="BF552" s="35">
        <v>1.44</v>
      </c>
      <c r="BH552" s="35">
        <v>3.38</v>
      </c>
      <c r="BI552" s="35">
        <v>3.3</v>
      </c>
      <c r="BJ552" s="35" t="s">
        <v>1106</v>
      </c>
      <c r="BN552" s="35">
        <v>28</v>
      </c>
      <c r="BO552" s="35">
        <v>22</v>
      </c>
      <c r="BQ552" s="35">
        <v>120</v>
      </c>
      <c r="BR552" s="35">
        <v>132</v>
      </c>
      <c r="BT552" s="35">
        <v>6.7</v>
      </c>
      <c r="BU552" s="35">
        <v>7.2</v>
      </c>
      <c r="CF552" s="35">
        <v>369</v>
      </c>
      <c r="CG552" s="35">
        <v>355</v>
      </c>
      <c r="CH552" s="35" t="s">
        <v>540</v>
      </c>
      <c r="CL552" s="35">
        <v>1.4172</v>
      </c>
      <c r="CM552" s="35">
        <v>1.49</v>
      </c>
      <c r="CN552" s="35" t="s">
        <v>1050</v>
      </c>
      <c r="DG552" s="35">
        <v>0.23</v>
      </c>
      <c r="DH552" s="35">
        <v>0.22700000000000001</v>
      </c>
      <c r="DS552" s="12"/>
      <c r="DU552" s="15"/>
      <c r="DV552" s="35">
        <v>1172</v>
      </c>
      <c r="DW552" s="35">
        <v>1229</v>
      </c>
      <c r="DX552" s="35" t="s">
        <v>539</v>
      </c>
      <c r="EQ552" s="35">
        <f t="shared" si="200"/>
        <v>0.48840000000000006</v>
      </c>
      <c r="ER552" s="35">
        <f>66*0.012</f>
        <v>0.79200000000000004</v>
      </c>
      <c r="ES552" s="35" t="s">
        <v>543</v>
      </c>
      <c r="EX552" s="39">
        <v>99999</v>
      </c>
      <c r="FA552" s="35" t="s">
        <v>542</v>
      </c>
      <c r="FB552" s="35" t="s">
        <v>1049</v>
      </c>
      <c r="FC552" s="35">
        <v>29</v>
      </c>
    </row>
    <row r="553" spans="1:159" s="35" customFormat="1" x14ac:dyDescent="0.25">
      <c r="A553" s="35">
        <v>29</v>
      </c>
      <c r="B553" s="35" t="s">
        <v>1240</v>
      </c>
      <c r="C553" s="35" t="s">
        <v>534</v>
      </c>
      <c r="D553" s="35">
        <v>2009</v>
      </c>
      <c r="E553" s="35">
        <v>2006</v>
      </c>
      <c r="F553" s="35" t="s">
        <v>363</v>
      </c>
      <c r="G553" s="35" t="s">
        <v>535</v>
      </c>
      <c r="H553" s="35">
        <f t="shared" si="193"/>
        <v>43.333333333333336</v>
      </c>
      <c r="I553" s="35">
        <f t="shared" si="194"/>
        <v>-89.716666666666669</v>
      </c>
      <c r="J553" s="35">
        <v>250</v>
      </c>
      <c r="P553" s="54" t="s">
        <v>182</v>
      </c>
      <c r="Q553" s="54"/>
      <c r="R553" s="54"/>
      <c r="S553" s="54" t="s">
        <v>1647</v>
      </c>
      <c r="T553" s="54" t="s">
        <v>1654</v>
      </c>
      <c r="U553" s="35">
        <f t="shared" si="195"/>
        <v>1.417142857142857</v>
      </c>
      <c r="X553" s="35" t="s">
        <v>168</v>
      </c>
      <c r="Y553" s="35">
        <f t="shared" si="196"/>
        <v>6.8714285714285719</v>
      </c>
      <c r="AB553" s="35" t="s">
        <v>1565</v>
      </c>
      <c r="AC553" s="35" t="s">
        <v>1389</v>
      </c>
      <c r="AD553" s="153" t="str">
        <f t="shared" si="176"/>
        <v>WinterRye</v>
      </c>
      <c r="AE553" s="35" t="s">
        <v>167</v>
      </c>
      <c r="AG553" s="35" t="s">
        <v>527</v>
      </c>
      <c r="AH553" s="35" t="s">
        <v>527</v>
      </c>
      <c r="AI553" s="35" t="s">
        <v>230</v>
      </c>
      <c r="AM553" s="35" t="s">
        <v>544</v>
      </c>
      <c r="AN553" s="35" t="s">
        <v>544</v>
      </c>
      <c r="AP553" s="35" t="s">
        <v>538</v>
      </c>
      <c r="AQ553" s="35">
        <v>4</v>
      </c>
      <c r="AR553" s="35">
        <v>4</v>
      </c>
      <c r="AS553" s="35" t="s">
        <v>177</v>
      </c>
      <c r="AW553" s="63"/>
      <c r="BE553" s="35">
        <v>1.4</v>
      </c>
      <c r="BF553" s="35">
        <v>1.45</v>
      </c>
      <c r="BH553" s="35">
        <v>3.38</v>
      </c>
      <c r="BI553" s="35">
        <v>3.13</v>
      </c>
      <c r="BJ553" s="35" t="s">
        <v>1106</v>
      </c>
      <c r="BN553" s="35">
        <v>28</v>
      </c>
      <c r="BO553" s="35">
        <v>18.8</v>
      </c>
      <c r="BQ553" s="35">
        <v>120</v>
      </c>
      <c r="BR553" s="35">
        <v>147</v>
      </c>
      <c r="BT553" s="35">
        <v>6.7</v>
      </c>
      <c r="BU553" s="35">
        <v>6.8</v>
      </c>
      <c r="CF553" s="35">
        <v>369</v>
      </c>
      <c r="CG553" s="35">
        <v>302</v>
      </c>
      <c r="CH553" s="35" t="s">
        <v>540</v>
      </c>
      <c r="CL553" s="35">
        <v>1.4172</v>
      </c>
      <c r="CM553" s="35">
        <v>1.53</v>
      </c>
      <c r="CN553" s="35" t="s">
        <v>1050</v>
      </c>
      <c r="DG553" s="35">
        <v>0.23</v>
      </c>
      <c r="DH553" s="35">
        <v>0.222</v>
      </c>
      <c r="DS553" s="12"/>
      <c r="DU553" s="15"/>
      <c r="DV553" s="35">
        <v>1172</v>
      </c>
      <c r="DW553" s="35">
        <v>1217</v>
      </c>
      <c r="DX553" s="35" t="s">
        <v>539</v>
      </c>
      <c r="EQ553" s="35">
        <f t="shared" si="200"/>
        <v>0.48840000000000006</v>
      </c>
      <c r="ER553" s="35">
        <f>41.7*0.012</f>
        <v>0.50040000000000007</v>
      </c>
      <c r="ES553" s="35" t="s">
        <v>543</v>
      </c>
      <c r="EX553" s="39">
        <v>99999</v>
      </c>
      <c r="FA553" s="35" t="s">
        <v>542</v>
      </c>
      <c r="FB553" s="35" t="s">
        <v>1049</v>
      </c>
      <c r="FC553" s="35">
        <v>29</v>
      </c>
    </row>
    <row r="554" spans="1:159" s="39" customFormat="1" x14ac:dyDescent="0.25">
      <c r="A554" s="39">
        <v>29</v>
      </c>
      <c r="B554" s="39" t="s">
        <v>1240</v>
      </c>
      <c r="C554" s="39" t="s">
        <v>534</v>
      </c>
      <c r="D554" s="39">
        <v>2009</v>
      </c>
      <c r="E554" s="39">
        <v>2006</v>
      </c>
      <c r="F554" s="39" t="s">
        <v>363</v>
      </c>
      <c r="G554" s="39" t="s">
        <v>535</v>
      </c>
      <c r="H554" s="39">
        <f t="shared" si="193"/>
        <v>43.333333333333336</v>
      </c>
      <c r="I554" s="39">
        <f t="shared" si="194"/>
        <v>-89.716666666666669</v>
      </c>
      <c r="J554" s="39">
        <v>250</v>
      </c>
      <c r="P554" s="58" t="s">
        <v>182</v>
      </c>
      <c r="Q554" s="58"/>
      <c r="R554" s="58"/>
      <c r="S554" s="58" t="s">
        <v>1654</v>
      </c>
      <c r="T554" s="58" t="s">
        <v>1654</v>
      </c>
      <c r="U554" s="39">
        <f t="shared" si="195"/>
        <v>1.417142857142857</v>
      </c>
      <c r="X554" s="39" t="s">
        <v>168</v>
      </c>
      <c r="Y554" s="39">
        <f t="shared" si="196"/>
        <v>6.8714285714285719</v>
      </c>
      <c r="AB554" s="39" t="s">
        <v>1565</v>
      </c>
      <c r="AC554" s="39" t="s">
        <v>1819</v>
      </c>
      <c r="AD554" s="153" t="str">
        <f t="shared" si="176"/>
        <v>Kura_clover</v>
      </c>
      <c r="AE554" s="39" t="s">
        <v>536</v>
      </c>
      <c r="AG554" s="39" t="s">
        <v>527</v>
      </c>
      <c r="AH554" s="39" t="s">
        <v>527</v>
      </c>
      <c r="AI554" s="39" t="s">
        <v>230</v>
      </c>
      <c r="AM554" s="39" t="s">
        <v>544</v>
      </c>
      <c r="AN554" s="39" t="s">
        <v>544</v>
      </c>
      <c r="AP554" s="39" t="s">
        <v>537</v>
      </c>
      <c r="AQ554" s="39">
        <v>4</v>
      </c>
      <c r="AR554" s="39">
        <v>4</v>
      </c>
      <c r="AS554" s="39" t="s">
        <v>177</v>
      </c>
      <c r="AW554" s="63"/>
      <c r="BE554" s="39">
        <v>1.57</v>
      </c>
      <c r="BF554" s="39">
        <v>1.55</v>
      </c>
      <c r="BH554" s="39">
        <v>2.58</v>
      </c>
      <c r="BI554" s="39">
        <v>2.75</v>
      </c>
      <c r="BJ554" s="39" t="s">
        <v>1106</v>
      </c>
      <c r="BN554" s="39">
        <v>23.8</v>
      </c>
      <c r="BO554" s="39">
        <v>16.8</v>
      </c>
      <c r="BQ554" s="39">
        <v>130</v>
      </c>
      <c r="BR554" s="39">
        <v>77</v>
      </c>
      <c r="BT554" s="39">
        <v>6.7</v>
      </c>
      <c r="BU554" s="39">
        <v>6.7</v>
      </c>
      <c r="CF554" s="39">
        <v>166</v>
      </c>
      <c r="CG554" s="39">
        <v>263</v>
      </c>
      <c r="CH554" s="39" t="s">
        <v>540</v>
      </c>
      <c r="CL554" s="39">
        <v>1.49</v>
      </c>
      <c r="CM554" s="39">
        <v>1.3345</v>
      </c>
      <c r="CN554" s="39" t="s">
        <v>1050</v>
      </c>
      <c r="DG554" s="39">
        <v>0.23400000000000001</v>
      </c>
      <c r="DH554" s="39">
        <v>0.23200000000000001</v>
      </c>
      <c r="DS554" s="12"/>
      <c r="DU554" s="15"/>
      <c r="DV554" s="39">
        <v>797</v>
      </c>
      <c r="DW554" s="39">
        <v>977</v>
      </c>
      <c r="DX554" s="39" t="s">
        <v>539</v>
      </c>
      <c r="EX554" s="39">
        <v>99999</v>
      </c>
      <c r="FA554" s="39" t="s">
        <v>542</v>
      </c>
      <c r="FB554" s="39" t="s">
        <v>1049</v>
      </c>
      <c r="FC554" s="39">
        <v>29</v>
      </c>
    </row>
    <row r="555" spans="1:159" s="39" customFormat="1" x14ac:dyDescent="0.25">
      <c r="A555" s="39">
        <v>29</v>
      </c>
      <c r="B555" s="39" t="s">
        <v>1240</v>
      </c>
      <c r="C555" s="39" t="s">
        <v>534</v>
      </c>
      <c r="D555" s="39">
        <v>2009</v>
      </c>
      <c r="E555" s="39">
        <v>2006</v>
      </c>
      <c r="F555" s="39" t="s">
        <v>363</v>
      </c>
      <c r="G555" s="39" t="s">
        <v>535</v>
      </c>
      <c r="H555" s="39">
        <f t="shared" si="193"/>
        <v>43.333333333333336</v>
      </c>
      <c r="I555" s="39">
        <f t="shared" si="194"/>
        <v>-89.716666666666669</v>
      </c>
      <c r="J555" s="39">
        <v>250</v>
      </c>
      <c r="P555" s="58" t="s">
        <v>182</v>
      </c>
      <c r="Q555" s="58"/>
      <c r="R555" s="58"/>
      <c r="S555" s="58" t="s">
        <v>1654</v>
      </c>
      <c r="T555" s="58" t="s">
        <v>1654</v>
      </c>
      <c r="U555" s="39">
        <f t="shared" si="195"/>
        <v>1.417142857142857</v>
      </c>
      <c r="X555" s="39" t="s">
        <v>168</v>
      </c>
      <c r="Y555" s="39">
        <f t="shared" si="196"/>
        <v>6.8714285714285719</v>
      </c>
      <c r="AB555" s="39" t="s">
        <v>1565</v>
      </c>
      <c r="AC555" s="39" t="s">
        <v>1819</v>
      </c>
      <c r="AD555" s="153" t="str">
        <f t="shared" si="176"/>
        <v>Kura_clover</v>
      </c>
      <c r="AE555" s="39" t="s">
        <v>167</v>
      </c>
      <c r="AG555" s="39" t="s">
        <v>527</v>
      </c>
      <c r="AH555" s="39" t="s">
        <v>527</v>
      </c>
      <c r="AI555" s="39" t="s">
        <v>230</v>
      </c>
      <c r="AM555" s="39" t="s">
        <v>544</v>
      </c>
      <c r="AN555" s="39" t="s">
        <v>544</v>
      </c>
      <c r="AP555" s="39" t="s">
        <v>537</v>
      </c>
      <c r="AQ555" s="39">
        <v>4</v>
      </c>
      <c r="AR555" s="39">
        <v>4</v>
      </c>
      <c r="AS555" s="39" t="s">
        <v>177</v>
      </c>
      <c r="AW555" s="63"/>
      <c r="BE555" s="39">
        <v>1.57</v>
      </c>
      <c r="BF555" s="39">
        <v>1.5</v>
      </c>
      <c r="BH555" s="39">
        <v>2.58</v>
      </c>
      <c r="BI555" s="39">
        <v>2.9</v>
      </c>
      <c r="BJ555" s="39" t="s">
        <v>1106</v>
      </c>
      <c r="BN555" s="39">
        <v>23.8</v>
      </c>
      <c r="BO555" s="39">
        <v>15.3</v>
      </c>
      <c r="BQ555" s="39">
        <v>130</v>
      </c>
      <c r="BR555" s="39">
        <v>77</v>
      </c>
      <c r="BT555" s="39">
        <v>6.7</v>
      </c>
      <c r="BU555" s="39">
        <v>7</v>
      </c>
      <c r="CF555" s="39">
        <v>166</v>
      </c>
      <c r="CG555" s="39">
        <v>286</v>
      </c>
      <c r="CH555" s="39" t="s">
        <v>540</v>
      </c>
      <c r="CL555" s="39">
        <v>1.49</v>
      </c>
      <c r="CM555" s="39">
        <v>1.6107</v>
      </c>
      <c r="CN555" s="39" t="s">
        <v>1050</v>
      </c>
      <c r="DG555" s="39">
        <v>0.23400000000000001</v>
      </c>
      <c r="DH555" s="39">
        <v>0.23899999999999999</v>
      </c>
      <c r="DS555" s="12"/>
      <c r="DU555" s="15"/>
      <c r="DV555" s="39">
        <v>797</v>
      </c>
      <c r="DW555" s="39">
        <v>962</v>
      </c>
      <c r="DX555" s="39" t="s">
        <v>539</v>
      </c>
      <c r="EX555" s="39">
        <v>99999</v>
      </c>
      <c r="FA555" s="39" t="s">
        <v>542</v>
      </c>
      <c r="FB555" s="39" t="s">
        <v>1049</v>
      </c>
      <c r="FC555" s="39">
        <v>29</v>
      </c>
    </row>
    <row r="556" spans="1:159" s="39" customFormat="1" x14ac:dyDescent="0.25">
      <c r="A556" s="39">
        <v>29</v>
      </c>
      <c r="B556" s="39" t="s">
        <v>1240</v>
      </c>
      <c r="C556" s="39" t="s">
        <v>534</v>
      </c>
      <c r="D556" s="39">
        <v>2009</v>
      </c>
      <c r="E556" s="39">
        <v>2006</v>
      </c>
      <c r="F556" s="39" t="s">
        <v>363</v>
      </c>
      <c r="G556" s="39" t="s">
        <v>535</v>
      </c>
      <c r="H556" s="39">
        <f t="shared" si="193"/>
        <v>43.333333333333336</v>
      </c>
      <c r="I556" s="39">
        <f t="shared" si="194"/>
        <v>-89.716666666666669</v>
      </c>
      <c r="J556" s="39">
        <v>250</v>
      </c>
      <c r="P556" s="58" t="s">
        <v>182</v>
      </c>
      <c r="Q556" s="58"/>
      <c r="R556" s="58"/>
      <c r="S556" s="58" t="s">
        <v>1654</v>
      </c>
      <c r="T556" s="58" t="s">
        <v>1654</v>
      </c>
      <c r="U556" s="39">
        <f t="shared" si="195"/>
        <v>1.417142857142857</v>
      </c>
      <c r="X556" s="39" t="s">
        <v>168</v>
      </c>
      <c r="Y556" s="39">
        <f t="shared" si="196"/>
        <v>6.8714285714285719</v>
      </c>
      <c r="AB556" s="39" t="s">
        <v>1565</v>
      </c>
      <c r="AC556" s="39" t="s">
        <v>1799</v>
      </c>
      <c r="AD556" s="153" t="str">
        <f t="shared" si="176"/>
        <v>Red_clover</v>
      </c>
      <c r="AE556" s="39" t="s">
        <v>536</v>
      </c>
      <c r="AG556" s="39" t="s">
        <v>527</v>
      </c>
      <c r="AH556" s="39" t="s">
        <v>527</v>
      </c>
      <c r="AI556" s="39" t="s">
        <v>230</v>
      </c>
      <c r="AM556" s="39" t="s">
        <v>544</v>
      </c>
      <c r="AN556" s="39" t="s">
        <v>544</v>
      </c>
      <c r="AP556" s="39" t="s">
        <v>537</v>
      </c>
      <c r="AQ556" s="39">
        <v>4</v>
      </c>
      <c r="AR556" s="39">
        <v>4</v>
      </c>
      <c r="AS556" s="39" t="s">
        <v>177</v>
      </c>
      <c r="AW556" s="63"/>
      <c r="BE556" s="39">
        <v>1.57</v>
      </c>
      <c r="BF556" s="39">
        <v>1.54</v>
      </c>
      <c r="BH556" s="39">
        <v>2.58</v>
      </c>
      <c r="BI556" s="39">
        <v>2.63</v>
      </c>
      <c r="BJ556" s="39" t="s">
        <v>1106</v>
      </c>
      <c r="BN556" s="39">
        <v>23.8</v>
      </c>
      <c r="BO556" s="39">
        <v>13.8</v>
      </c>
      <c r="BQ556" s="39">
        <v>130</v>
      </c>
      <c r="BR556" s="39">
        <v>73</v>
      </c>
      <c r="BT556" s="39">
        <v>6.7</v>
      </c>
      <c r="BU556" s="39">
        <v>6.8</v>
      </c>
      <c r="CF556" s="39">
        <v>166</v>
      </c>
      <c r="CG556" s="39">
        <v>276</v>
      </c>
      <c r="CH556" s="39" t="s">
        <v>540</v>
      </c>
      <c r="CL556" s="39">
        <v>1.49</v>
      </c>
      <c r="CM556" s="39">
        <v>1.54</v>
      </c>
      <c r="CN556" s="39" t="s">
        <v>1050</v>
      </c>
      <c r="DG556" s="39">
        <v>0.23400000000000001</v>
      </c>
      <c r="DH556" s="39">
        <v>0.23300000000000001</v>
      </c>
      <c r="DS556" s="12"/>
      <c r="DU556" s="15"/>
      <c r="DV556" s="39">
        <v>797</v>
      </c>
      <c r="DW556" s="39">
        <v>944</v>
      </c>
      <c r="DX556" s="39" t="s">
        <v>539</v>
      </c>
      <c r="EX556" s="39">
        <v>99999</v>
      </c>
      <c r="FA556" s="39" t="s">
        <v>542</v>
      </c>
      <c r="FB556" s="39" t="s">
        <v>1049</v>
      </c>
      <c r="FC556" s="39">
        <v>29</v>
      </c>
    </row>
    <row r="557" spans="1:159" s="39" customFormat="1" x14ac:dyDescent="0.25">
      <c r="A557" s="39">
        <v>29</v>
      </c>
      <c r="B557" s="39" t="s">
        <v>1240</v>
      </c>
      <c r="C557" s="39" t="s">
        <v>534</v>
      </c>
      <c r="D557" s="39">
        <v>2009</v>
      </c>
      <c r="E557" s="39">
        <v>2006</v>
      </c>
      <c r="F557" s="39" t="s">
        <v>363</v>
      </c>
      <c r="G557" s="39" t="s">
        <v>535</v>
      </c>
      <c r="H557" s="39">
        <f t="shared" si="193"/>
        <v>43.333333333333336</v>
      </c>
      <c r="I557" s="39">
        <f t="shared" si="194"/>
        <v>-89.716666666666669</v>
      </c>
      <c r="J557" s="39">
        <v>250</v>
      </c>
      <c r="P557" s="58" t="s">
        <v>182</v>
      </c>
      <c r="Q557" s="58"/>
      <c r="R557" s="58"/>
      <c r="S557" s="58" t="s">
        <v>1654</v>
      </c>
      <c r="T557" s="58" t="s">
        <v>1654</v>
      </c>
      <c r="U557" s="39">
        <f t="shared" si="195"/>
        <v>1.417142857142857</v>
      </c>
      <c r="X557" s="39" t="s">
        <v>168</v>
      </c>
      <c r="Y557" s="39">
        <f t="shared" si="196"/>
        <v>6.8714285714285719</v>
      </c>
      <c r="AB557" s="39" t="s">
        <v>1565</v>
      </c>
      <c r="AC557" s="39" t="s">
        <v>1799</v>
      </c>
      <c r="AD557" s="153" t="str">
        <f t="shared" si="176"/>
        <v>Red_clover</v>
      </c>
      <c r="AE557" s="39" t="s">
        <v>167</v>
      </c>
      <c r="AG557" s="39" t="s">
        <v>527</v>
      </c>
      <c r="AH557" s="39" t="s">
        <v>527</v>
      </c>
      <c r="AI557" s="39" t="s">
        <v>230</v>
      </c>
      <c r="AM557" s="39" t="s">
        <v>544</v>
      </c>
      <c r="AN557" s="39" t="s">
        <v>544</v>
      </c>
      <c r="AP557" s="39" t="s">
        <v>537</v>
      </c>
      <c r="AQ557" s="39">
        <v>4</v>
      </c>
      <c r="AR557" s="39">
        <v>4</v>
      </c>
      <c r="AS557" s="39" t="s">
        <v>177</v>
      </c>
      <c r="AW557" s="63"/>
      <c r="BE557" s="39">
        <v>1.57</v>
      </c>
      <c r="BF557" s="39">
        <v>1.55</v>
      </c>
      <c r="BH557" s="39">
        <v>2.58</v>
      </c>
      <c r="BI557" s="39">
        <v>2.83</v>
      </c>
      <c r="BJ557" s="39" t="s">
        <v>1106</v>
      </c>
      <c r="BN557" s="39">
        <v>23.8</v>
      </c>
      <c r="BO557" s="39">
        <v>16.8</v>
      </c>
      <c r="BQ557" s="39">
        <v>130</v>
      </c>
      <c r="BR557" s="39">
        <v>71</v>
      </c>
      <c r="BT557" s="39">
        <v>6.7</v>
      </c>
      <c r="BU557" s="39">
        <v>7.1</v>
      </c>
      <c r="CF557" s="39">
        <v>166</v>
      </c>
      <c r="CG557" s="39">
        <v>272</v>
      </c>
      <c r="CH557" s="39" t="s">
        <v>540</v>
      </c>
      <c r="CL557" s="39">
        <v>1.49</v>
      </c>
      <c r="CM557" s="39">
        <v>1.3345</v>
      </c>
      <c r="CN557" s="39" t="s">
        <v>1050</v>
      </c>
      <c r="DG557" s="39">
        <v>0.23400000000000001</v>
      </c>
      <c r="DH557" s="39">
        <v>0.23</v>
      </c>
      <c r="DS557" s="12"/>
      <c r="DU557" s="15"/>
      <c r="DV557" s="39">
        <v>797</v>
      </c>
      <c r="DW557" s="39">
        <v>984</v>
      </c>
      <c r="DX557" s="39" t="s">
        <v>539</v>
      </c>
      <c r="EX557" s="39">
        <v>99999</v>
      </c>
      <c r="FA557" s="39" t="s">
        <v>542</v>
      </c>
      <c r="FB557" s="39" t="s">
        <v>1049</v>
      </c>
      <c r="FC557" s="39">
        <v>29</v>
      </c>
    </row>
    <row r="558" spans="1:159" s="39" customFormat="1" x14ac:dyDescent="0.25">
      <c r="A558" s="39">
        <v>29</v>
      </c>
      <c r="B558" s="39" t="s">
        <v>1240</v>
      </c>
      <c r="C558" s="39" t="s">
        <v>534</v>
      </c>
      <c r="D558" s="39">
        <v>2009</v>
      </c>
      <c r="E558" s="39">
        <v>2006</v>
      </c>
      <c r="F558" s="39" t="s">
        <v>363</v>
      </c>
      <c r="G558" s="39" t="s">
        <v>535</v>
      </c>
      <c r="H558" s="39">
        <f t="shared" si="193"/>
        <v>43.333333333333336</v>
      </c>
      <c r="I558" s="39">
        <f t="shared" si="194"/>
        <v>-89.716666666666669</v>
      </c>
      <c r="J558" s="39">
        <v>250</v>
      </c>
      <c r="P558" s="58" t="s">
        <v>182</v>
      </c>
      <c r="Q558" s="58"/>
      <c r="R558" s="58"/>
      <c r="S558" s="58" t="s">
        <v>1654</v>
      </c>
      <c r="T558" s="58" t="s">
        <v>1654</v>
      </c>
      <c r="U558" s="39">
        <f t="shared" si="195"/>
        <v>1.417142857142857</v>
      </c>
      <c r="X558" s="39" t="s">
        <v>168</v>
      </c>
      <c r="Y558" s="39">
        <f t="shared" si="196"/>
        <v>6.8714285714285719</v>
      </c>
      <c r="AB558" s="39" t="s">
        <v>1565</v>
      </c>
      <c r="AC558" s="39" t="s">
        <v>1388</v>
      </c>
      <c r="AD558" s="153" t="str">
        <f t="shared" si="176"/>
        <v>ItalianRyegrass</v>
      </c>
      <c r="AE558" s="39" t="s">
        <v>167</v>
      </c>
      <c r="AG558" s="39" t="s">
        <v>527</v>
      </c>
      <c r="AH558" s="39" t="s">
        <v>527</v>
      </c>
      <c r="AI558" s="39" t="s">
        <v>230</v>
      </c>
      <c r="AM558" s="39" t="s">
        <v>544</v>
      </c>
      <c r="AN558" s="39" t="s">
        <v>544</v>
      </c>
      <c r="AP558" s="39" t="s">
        <v>537</v>
      </c>
      <c r="AQ558" s="39">
        <v>4</v>
      </c>
      <c r="AR558" s="39">
        <v>4</v>
      </c>
      <c r="AS558" s="39" t="s">
        <v>177</v>
      </c>
      <c r="AW558" s="63"/>
      <c r="BE558" s="39">
        <v>1.57</v>
      </c>
      <c r="BF558" s="39">
        <v>1.55</v>
      </c>
      <c r="BH558" s="39">
        <v>2.58</v>
      </c>
      <c r="BI558" s="39">
        <v>2.38</v>
      </c>
      <c r="BJ558" s="39" t="s">
        <v>1106</v>
      </c>
      <c r="BN558" s="39">
        <v>23.8</v>
      </c>
      <c r="BO558" s="39">
        <v>14.8</v>
      </c>
      <c r="BQ558" s="39">
        <v>130</v>
      </c>
      <c r="BR558" s="39">
        <v>87</v>
      </c>
      <c r="BT558" s="39">
        <v>6.7</v>
      </c>
      <c r="BU558" s="39">
        <v>6.8</v>
      </c>
      <c r="CF558" s="39">
        <v>166</v>
      </c>
      <c r="CG558" s="39">
        <v>249</v>
      </c>
      <c r="CH558" s="39" t="s">
        <v>540</v>
      </c>
      <c r="CL558" s="39">
        <v>1.49</v>
      </c>
      <c r="CM558" s="39">
        <v>1.56</v>
      </c>
      <c r="CN558" s="39" t="s">
        <v>1050</v>
      </c>
      <c r="DG558" s="39">
        <v>0.23400000000000001</v>
      </c>
      <c r="DH558" s="39">
        <v>0.23</v>
      </c>
      <c r="DS558" s="12"/>
      <c r="DU558" s="15"/>
      <c r="DV558" s="39">
        <v>797</v>
      </c>
      <c r="DW558" s="39">
        <v>949</v>
      </c>
      <c r="DX558" s="39" t="s">
        <v>539</v>
      </c>
      <c r="EX558" s="39">
        <v>99999</v>
      </c>
      <c r="FA558" s="39" t="s">
        <v>542</v>
      </c>
      <c r="FB558" s="39" t="s">
        <v>1049</v>
      </c>
      <c r="FC558" s="39">
        <v>29</v>
      </c>
    </row>
    <row r="559" spans="1:159" s="39" customFormat="1" x14ac:dyDescent="0.25">
      <c r="A559" s="39">
        <v>29</v>
      </c>
      <c r="B559" s="39" t="s">
        <v>1240</v>
      </c>
      <c r="C559" s="39" t="s">
        <v>534</v>
      </c>
      <c r="D559" s="39">
        <v>2009</v>
      </c>
      <c r="E559" s="39">
        <v>2006</v>
      </c>
      <c r="F559" s="39" t="s">
        <v>363</v>
      </c>
      <c r="G559" s="39" t="s">
        <v>535</v>
      </c>
      <c r="H559" s="39">
        <f t="shared" si="193"/>
        <v>43.333333333333336</v>
      </c>
      <c r="I559" s="39">
        <f t="shared" si="194"/>
        <v>-89.716666666666669</v>
      </c>
      <c r="J559" s="39">
        <v>250</v>
      </c>
      <c r="P559" s="58" t="s">
        <v>182</v>
      </c>
      <c r="Q559" s="58"/>
      <c r="R559" s="58"/>
      <c r="S559" s="58" t="s">
        <v>1654</v>
      </c>
      <c r="T559" s="58" t="s">
        <v>1654</v>
      </c>
      <c r="U559" s="39">
        <f t="shared" si="195"/>
        <v>1.417142857142857</v>
      </c>
      <c r="X559" s="39" t="s">
        <v>168</v>
      </c>
      <c r="Y559" s="39">
        <f t="shared" si="196"/>
        <v>6.8714285714285719</v>
      </c>
      <c r="AB559" s="39" t="s">
        <v>1565</v>
      </c>
      <c r="AC559" s="39" t="s">
        <v>1389</v>
      </c>
      <c r="AD559" s="153" t="str">
        <f t="shared" si="176"/>
        <v>WinterRye</v>
      </c>
      <c r="AE559" s="39" t="s">
        <v>167</v>
      </c>
      <c r="AG559" s="39" t="s">
        <v>527</v>
      </c>
      <c r="AH559" s="39" t="s">
        <v>527</v>
      </c>
      <c r="AI559" s="39" t="s">
        <v>230</v>
      </c>
      <c r="AM559" s="39" t="s">
        <v>544</v>
      </c>
      <c r="AN559" s="39" t="s">
        <v>544</v>
      </c>
      <c r="AP559" s="39" t="s">
        <v>537</v>
      </c>
      <c r="AQ559" s="39">
        <v>4</v>
      </c>
      <c r="AR559" s="39">
        <v>4</v>
      </c>
      <c r="AS559" s="39" t="s">
        <v>177</v>
      </c>
      <c r="AW559" s="63"/>
      <c r="BE559" s="39">
        <v>1.57</v>
      </c>
      <c r="BF559" s="39">
        <v>1.51</v>
      </c>
      <c r="BH559" s="39">
        <v>2.58</v>
      </c>
      <c r="BI559" s="39">
        <v>2.38</v>
      </c>
      <c r="BJ559" s="39" t="s">
        <v>1106</v>
      </c>
      <c r="BN559" s="39">
        <v>23.8</v>
      </c>
      <c r="BO559" s="39">
        <v>12.8</v>
      </c>
      <c r="BQ559" s="39">
        <v>130</v>
      </c>
      <c r="BR559" s="39">
        <v>92</v>
      </c>
      <c r="BT559" s="39">
        <v>6.7</v>
      </c>
      <c r="BU559" s="39">
        <v>7.2</v>
      </c>
      <c r="CF559" s="39">
        <v>166</v>
      </c>
      <c r="CG559" s="39">
        <v>238</v>
      </c>
      <c r="CH559" s="39" t="s">
        <v>540</v>
      </c>
      <c r="CL559" s="39">
        <v>1.49</v>
      </c>
      <c r="CM559" s="39">
        <v>1.56</v>
      </c>
      <c r="CN559" s="39" t="s">
        <v>1050</v>
      </c>
      <c r="DG559" s="39">
        <v>0.23400000000000001</v>
      </c>
      <c r="DH559" s="39">
        <v>0.23400000000000001</v>
      </c>
      <c r="DS559" s="12"/>
      <c r="DU559" s="15"/>
      <c r="DV559" s="39">
        <v>797</v>
      </c>
      <c r="DW559" s="39">
        <v>922</v>
      </c>
      <c r="DX559" s="39" t="s">
        <v>539</v>
      </c>
      <c r="EX559" s="39">
        <v>99999</v>
      </c>
      <c r="FA559" s="39" t="s">
        <v>542</v>
      </c>
      <c r="FB559" s="39" t="s">
        <v>1049</v>
      </c>
      <c r="FC559" s="39">
        <v>29</v>
      </c>
    </row>
    <row r="560" spans="1:159" s="35" customFormat="1" x14ac:dyDescent="0.25">
      <c r="A560" s="35">
        <v>29</v>
      </c>
      <c r="B560" s="35" t="s">
        <v>1240</v>
      </c>
      <c r="C560" s="35" t="s">
        <v>534</v>
      </c>
      <c r="D560" s="35">
        <v>2009</v>
      </c>
      <c r="E560" s="35">
        <v>2006</v>
      </c>
      <c r="F560" s="35" t="s">
        <v>363</v>
      </c>
      <c r="G560" s="35" t="s">
        <v>535</v>
      </c>
      <c r="H560" s="35">
        <f t="shared" si="193"/>
        <v>43.333333333333336</v>
      </c>
      <c r="I560" s="35">
        <f t="shared" si="194"/>
        <v>-89.716666666666669</v>
      </c>
      <c r="J560" s="35">
        <v>250</v>
      </c>
      <c r="P560" s="54" t="s">
        <v>182</v>
      </c>
      <c r="Q560" s="54"/>
      <c r="R560" s="54"/>
      <c r="S560" s="54" t="s">
        <v>1654</v>
      </c>
      <c r="T560" s="54" t="s">
        <v>1654</v>
      </c>
      <c r="U560" s="35">
        <f t="shared" si="195"/>
        <v>1.417142857142857</v>
      </c>
      <c r="X560" s="35" t="s">
        <v>168</v>
      </c>
      <c r="Y560" s="35">
        <f t="shared" si="196"/>
        <v>6.8714285714285719</v>
      </c>
      <c r="AB560" s="35" t="s">
        <v>1565</v>
      </c>
      <c r="AC560" s="35" t="s">
        <v>1819</v>
      </c>
      <c r="AD560" s="153" t="str">
        <f t="shared" si="176"/>
        <v>Kura_clover</v>
      </c>
      <c r="AE560" s="35" t="s">
        <v>536</v>
      </c>
      <c r="AG560" s="35" t="s">
        <v>527</v>
      </c>
      <c r="AH560" s="35" t="s">
        <v>527</v>
      </c>
      <c r="AI560" s="35" t="s">
        <v>230</v>
      </c>
      <c r="AM560" s="35" t="s">
        <v>544</v>
      </c>
      <c r="AN560" s="35" t="s">
        <v>544</v>
      </c>
      <c r="AP560" s="35" t="s">
        <v>538</v>
      </c>
      <c r="AQ560" s="35">
        <v>4</v>
      </c>
      <c r="AR560" s="35">
        <v>4</v>
      </c>
      <c r="AS560" s="35" t="s">
        <v>177</v>
      </c>
      <c r="AW560" s="63"/>
      <c r="BE560" s="35">
        <v>1.57</v>
      </c>
      <c r="BF560" s="35">
        <v>1.55</v>
      </c>
      <c r="BH560" s="35">
        <v>2.48</v>
      </c>
      <c r="BI560" s="35">
        <v>2.75</v>
      </c>
      <c r="BJ560" s="35" t="s">
        <v>1106</v>
      </c>
      <c r="BN560" s="35">
        <v>13</v>
      </c>
      <c r="BO560" s="35">
        <v>16.8</v>
      </c>
      <c r="BQ560" s="35">
        <v>86</v>
      </c>
      <c r="BR560" s="35">
        <v>77</v>
      </c>
      <c r="BT560" s="35">
        <v>7</v>
      </c>
      <c r="BU560" s="35">
        <v>6.7</v>
      </c>
      <c r="CF560" s="35">
        <v>267</v>
      </c>
      <c r="CG560" s="35">
        <v>263</v>
      </c>
      <c r="CH560" s="35" t="s">
        <v>540</v>
      </c>
      <c r="CL560" s="35">
        <v>1.54</v>
      </c>
      <c r="CM560" s="35">
        <v>1.3345</v>
      </c>
      <c r="CN560" s="35" t="s">
        <v>1050</v>
      </c>
      <c r="DG560" s="35">
        <v>0.23400000000000001</v>
      </c>
      <c r="DH560" s="35">
        <v>0.23200000000000001</v>
      </c>
      <c r="DS560" s="12"/>
      <c r="DU560" s="15"/>
      <c r="DV560" s="35">
        <v>878</v>
      </c>
      <c r="DW560" s="35">
        <v>977</v>
      </c>
      <c r="DX560" s="35" t="s">
        <v>539</v>
      </c>
      <c r="EX560" s="39">
        <v>99999</v>
      </c>
      <c r="FA560" s="35" t="s">
        <v>542</v>
      </c>
      <c r="FB560" s="35" t="s">
        <v>1049</v>
      </c>
      <c r="FC560" s="35">
        <v>29</v>
      </c>
    </row>
    <row r="561" spans="1:159" s="35" customFormat="1" x14ac:dyDescent="0.25">
      <c r="A561" s="35">
        <v>29</v>
      </c>
      <c r="B561" s="35" t="s">
        <v>1240</v>
      </c>
      <c r="C561" s="35" t="s">
        <v>534</v>
      </c>
      <c r="D561" s="35">
        <v>2009</v>
      </c>
      <c r="E561" s="35">
        <v>2006</v>
      </c>
      <c r="F561" s="35" t="s">
        <v>363</v>
      </c>
      <c r="G561" s="35" t="s">
        <v>535</v>
      </c>
      <c r="H561" s="35">
        <f t="shared" si="193"/>
        <v>43.333333333333336</v>
      </c>
      <c r="I561" s="35">
        <f t="shared" si="194"/>
        <v>-89.716666666666669</v>
      </c>
      <c r="J561" s="35">
        <v>250</v>
      </c>
      <c r="P561" s="54" t="s">
        <v>182</v>
      </c>
      <c r="Q561" s="54"/>
      <c r="R561" s="54"/>
      <c r="S561" s="54" t="s">
        <v>1654</v>
      </c>
      <c r="T561" s="54" t="s">
        <v>1654</v>
      </c>
      <c r="U561" s="35">
        <f t="shared" si="195"/>
        <v>1.417142857142857</v>
      </c>
      <c r="X561" s="35" t="s">
        <v>168</v>
      </c>
      <c r="Y561" s="35">
        <f t="shared" si="196"/>
        <v>6.8714285714285719</v>
      </c>
      <c r="AB561" s="35" t="s">
        <v>1565</v>
      </c>
      <c r="AC561" s="35" t="s">
        <v>1819</v>
      </c>
      <c r="AD561" s="153" t="str">
        <f t="shared" si="176"/>
        <v>Kura_clover</v>
      </c>
      <c r="AE561" s="35" t="s">
        <v>167</v>
      </c>
      <c r="AG561" s="35" t="s">
        <v>527</v>
      </c>
      <c r="AH561" s="35" t="s">
        <v>527</v>
      </c>
      <c r="AI561" s="35" t="s">
        <v>230</v>
      </c>
      <c r="AM561" s="35" t="s">
        <v>544</v>
      </c>
      <c r="AN561" s="35" t="s">
        <v>544</v>
      </c>
      <c r="AP561" s="35" t="s">
        <v>538</v>
      </c>
      <c r="AQ561" s="35">
        <v>4</v>
      </c>
      <c r="AR561" s="35">
        <v>4</v>
      </c>
      <c r="AS561" s="35" t="s">
        <v>177</v>
      </c>
      <c r="AW561" s="63"/>
      <c r="BE561" s="35">
        <v>1.57</v>
      </c>
      <c r="BF561" s="35">
        <v>1.5</v>
      </c>
      <c r="BH561" s="35">
        <v>2.48</v>
      </c>
      <c r="BI561" s="35">
        <v>2.9</v>
      </c>
      <c r="BJ561" s="35" t="s">
        <v>1106</v>
      </c>
      <c r="BN561" s="35">
        <v>13</v>
      </c>
      <c r="BO561" s="35">
        <v>15.3</v>
      </c>
      <c r="BQ561" s="35">
        <v>86</v>
      </c>
      <c r="BR561" s="35">
        <v>77</v>
      </c>
      <c r="BT561" s="35">
        <v>7</v>
      </c>
      <c r="BU561" s="35">
        <v>7</v>
      </c>
      <c r="CF561" s="35">
        <v>267</v>
      </c>
      <c r="CG561" s="35">
        <v>286</v>
      </c>
      <c r="CH561" s="35" t="s">
        <v>540</v>
      </c>
      <c r="CL561" s="35">
        <v>1.54</v>
      </c>
      <c r="CM561" s="35">
        <v>1.6107</v>
      </c>
      <c r="CN561" s="35" t="s">
        <v>1050</v>
      </c>
      <c r="DG561" s="35">
        <v>0.23400000000000001</v>
      </c>
      <c r="DH561" s="35">
        <v>0.23899999999999999</v>
      </c>
      <c r="DS561" s="12"/>
      <c r="DU561" s="15"/>
      <c r="DV561" s="35">
        <v>878</v>
      </c>
      <c r="DW561" s="35">
        <v>962</v>
      </c>
      <c r="DX561" s="35" t="s">
        <v>539</v>
      </c>
      <c r="EX561" s="39">
        <v>99999</v>
      </c>
      <c r="FA561" s="35" t="s">
        <v>542</v>
      </c>
      <c r="FB561" s="35" t="s">
        <v>1049</v>
      </c>
      <c r="FC561" s="35">
        <v>29</v>
      </c>
    </row>
    <row r="562" spans="1:159" s="35" customFormat="1" x14ac:dyDescent="0.25">
      <c r="A562" s="35">
        <v>29</v>
      </c>
      <c r="B562" s="35" t="s">
        <v>1240</v>
      </c>
      <c r="C562" s="35" t="s">
        <v>534</v>
      </c>
      <c r="D562" s="35">
        <v>2009</v>
      </c>
      <c r="E562" s="35">
        <v>2006</v>
      </c>
      <c r="F562" s="35" t="s">
        <v>363</v>
      </c>
      <c r="G562" s="35" t="s">
        <v>535</v>
      </c>
      <c r="H562" s="35">
        <f t="shared" si="193"/>
        <v>43.333333333333336</v>
      </c>
      <c r="I562" s="35">
        <f t="shared" si="194"/>
        <v>-89.716666666666669</v>
      </c>
      <c r="J562" s="35">
        <v>250</v>
      </c>
      <c r="P562" s="54" t="s">
        <v>182</v>
      </c>
      <c r="Q562" s="54"/>
      <c r="R562" s="54"/>
      <c r="S562" s="54" t="s">
        <v>1654</v>
      </c>
      <c r="T562" s="54" t="s">
        <v>1654</v>
      </c>
      <c r="U562" s="35">
        <f t="shared" si="195"/>
        <v>1.417142857142857</v>
      </c>
      <c r="X562" s="35" t="s">
        <v>168</v>
      </c>
      <c r="Y562" s="35">
        <f t="shared" si="196"/>
        <v>6.8714285714285719</v>
      </c>
      <c r="AB562" s="35" t="s">
        <v>1565</v>
      </c>
      <c r="AC562" s="35" t="s">
        <v>1799</v>
      </c>
      <c r="AD562" s="153" t="str">
        <f t="shared" si="176"/>
        <v>Red_clover</v>
      </c>
      <c r="AE562" s="35" t="s">
        <v>536</v>
      </c>
      <c r="AG562" s="35" t="s">
        <v>527</v>
      </c>
      <c r="AH562" s="35" t="s">
        <v>527</v>
      </c>
      <c r="AI562" s="35" t="s">
        <v>230</v>
      </c>
      <c r="AM562" s="35" t="s">
        <v>544</v>
      </c>
      <c r="AN562" s="35" t="s">
        <v>544</v>
      </c>
      <c r="AP562" s="35" t="s">
        <v>538</v>
      </c>
      <c r="AQ562" s="35">
        <v>4</v>
      </c>
      <c r="AR562" s="35">
        <v>4</v>
      </c>
      <c r="AS562" s="35" t="s">
        <v>177</v>
      </c>
      <c r="AW562" s="63"/>
      <c r="BE562" s="35">
        <v>1.57</v>
      </c>
      <c r="BF562" s="35">
        <v>1.54</v>
      </c>
      <c r="BH562" s="35">
        <v>2.48</v>
      </c>
      <c r="BI562" s="35">
        <v>2.63</v>
      </c>
      <c r="BJ562" s="35" t="s">
        <v>1106</v>
      </c>
      <c r="BN562" s="35">
        <v>13</v>
      </c>
      <c r="BO562" s="35">
        <v>13.8</v>
      </c>
      <c r="BQ562" s="35">
        <v>86</v>
      </c>
      <c r="BR562" s="35">
        <v>73</v>
      </c>
      <c r="BT562" s="35">
        <v>7</v>
      </c>
      <c r="BU562" s="35">
        <v>6.8</v>
      </c>
      <c r="CF562" s="35">
        <v>267</v>
      </c>
      <c r="CG562" s="35">
        <v>276</v>
      </c>
      <c r="CH562" s="35" t="s">
        <v>540</v>
      </c>
      <c r="CL562" s="35">
        <v>1.54</v>
      </c>
      <c r="CM562" s="35">
        <v>1.54</v>
      </c>
      <c r="CN562" s="35" t="s">
        <v>1050</v>
      </c>
      <c r="DG562" s="35">
        <v>0.23400000000000001</v>
      </c>
      <c r="DH562" s="35">
        <v>0.23300000000000001</v>
      </c>
      <c r="DS562" s="12"/>
      <c r="DU562" s="15"/>
      <c r="DV562" s="35">
        <v>878</v>
      </c>
      <c r="DW562" s="35">
        <v>944</v>
      </c>
      <c r="DX562" s="35" t="s">
        <v>539</v>
      </c>
      <c r="EX562" s="39">
        <v>99999</v>
      </c>
      <c r="FA562" s="35" t="s">
        <v>542</v>
      </c>
      <c r="FB562" s="35" t="s">
        <v>1049</v>
      </c>
      <c r="FC562" s="35">
        <v>29</v>
      </c>
    </row>
    <row r="563" spans="1:159" s="35" customFormat="1" x14ac:dyDescent="0.25">
      <c r="A563" s="35">
        <v>29</v>
      </c>
      <c r="B563" s="35" t="s">
        <v>1240</v>
      </c>
      <c r="C563" s="35" t="s">
        <v>534</v>
      </c>
      <c r="D563" s="35">
        <v>2009</v>
      </c>
      <c r="E563" s="35">
        <v>2006</v>
      </c>
      <c r="F563" s="35" t="s">
        <v>363</v>
      </c>
      <c r="G563" s="35" t="s">
        <v>535</v>
      </c>
      <c r="H563" s="35">
        <f t="shared" si="193"/>
        <v>43.333333333333336</v>
      </c>
      <c r="I563" s="35">
        <f t="shared" si="194"/>
        <v>-89.716666666666669</v>
      </c>
      <c r="J563" s="35">
        <v>250</v>
      </c>
      <c r="P563" s="54" t="s">
        <v>182</v>
      </c>
      <c r="Q563" s="54"/>
      <c r="R563" s="54"/>
      <c r="S563" s="54" t="s">
        <v>1654</v>
      </c>
      <c r="T563" s="54" t="s">
        <v>1654</v>
      </c>
      <c r="U563" s="35">
        <f t="shared" si="195"/>
        <v>1.417142857142857</v>
      </c>
      <c r="X563" s="35" t="s">
        <v>168</v>
      </c>
      <c r="Y563" s="35">
        <f t="shared" si="196"/>
        <v>6.8714285714285719</v>
      </c>
      <c r="AB563" s="35" t="s">
        <v>1565</v>
      </c>
      <c r="AC563" s="35" t="s">
        <v>1799</v>
      </c>
      <c r="AD563" s="153" t="str">
        <f t="shared" si="176"/>
        <v>Red_clover</v>
      </c>
      <c r="AE563" s="35" t="s">
        <v>167</v>
      </c>
      <c r="AG563" s="35" t="s">
        <v>527</v>
      </c>
      <c r="AH563" s="35" t="s">
        <v>527</v>
      </c>
      <c r="AI563" s="35" t="s">
        <v>230</v>
      </c>
      <c r="AM563" s="35" t="s">
        <v>544</v>
      </c>
      <c r="AN563" s="35" t="s">
        <v>544</v>
      </c>
      <c r="AP563" s="35" t="s">
        <v>538</v>
      </c>
      <c r="AQ563" s="35">
        <v>4</v>
      </c>
      <c r="AR563" s="35">
        <v>4</v>
      </c>
      <c r="AS563" s="35" t="s">
        <v>177</v>
      </c>
      <c r="AW563" s="63"/>
      <c r="BE563" s="35">
        <v>1.57</v>
      </c>
      <c r="BF563" s="35">
        <v>1.55</v>
      </c>
      <c r="BH563" s="35">
        <v>2.48</v>
      </c>
      <c r="BI563" s="35">
        <v>2.83</v>
      </c>
      <c r="BJ563" s="35" t="s">
        <v>1106</v>
      </c>
      <c r="BN563" s="35">
        <v>13</v>
      </c>
      <c r="BO563" s="35">
        <v>16.8</v>
      </c>
      <c r="BQ563" s="35">
        <v>86</v>
      </c>
      <c r="BR563" s="35">
        <v>71</v>
      </c>
      <c r="BT563" s="35">
        <v>7</v>
      </c>
      <c r="BU563" s="35">
        <v>7.1</v>
      </c>
      <c r="CF563" s="35">
        <v>267</v>
      </c>
      <c r="CG563" s="35">
        <v>272</v>
      </c>
      <c r="CH563" s="35" t="s">
        <v>540</v>
      </c>
      <c r="CL563" s="35">
        <v>1.54</v>
      </c>
      <c r="CM563" s="35">
        <v>1.3345</v>
      </c>
      <c r="CN563" s="35" t="s">
        <v>1050</v>
      </c>
      <c r="DG563" s="35">
        <v>0.23400000000000001</v>
      </c>
      <c r="DH563" s="35">
        <v>0.23</v>
      </c>
      <c r="DS563" s="12"/>
      <c r="DU563" s="15"/>
      <c r="DV563" s="35">
        <v>878</v>
      </c>
      <c r="DW563" s="35">
        <v>984</v>
      </c>
      <c r="DX563" s="35" t="s">
        <v>539</v>
      </c>
      <c r="EX563" s="39">
        <v>99999</v>
      </c>
      <c r="FA563" s="35" t="s">
        <v>542</v>
      </c>
      <c r="FB563" s="35" t="s">
        <v>1049</v>
      </c>
      <c r="FC563" s="35">
        <v>29</v>
      </c>
    </row>
    <row r="564" spans="1:159" s="35" customFormat="1" x14ac:dyDescent="0.25">
      <c r="A564" s="35">
        <v>29</v>
      </c>
      <c r="B564" s="35" t="s">
        <v>1240</v>
      </c>
      <c r="C564" s="35" t="s">
        <v>534</v>
      </c>
      <c r="D564" s="35">
        <v>2009</v>
      </c>
      <c r="E564" s="35">
        <v>2006</v>
      </c>
      <c r="F564" s="35" t="s">
        <v>363</v>
      </c>
      <c r="G564" s="35" t="s">
        <v>535</v>
      </c>
      <c r="H564" s="35">
        <f t="shared" si="193"/>
        <v>43.333333333333336</v>
      </c>
      <c r="I564" s="35">
        <f t="shared" si="194"/>
        <v>-89.716666666666669</v>
      </c>
      <c r="J564" s="35">
        <v>250</v>
      </c>
      <c r="P564" s="54" t="s">
        <v>182</v>
      </c>
      <c r="Q564" s="54"/>
      <c r="R564" s="54"/>
      <c r="S564" s="54" t="s">
        <v>1654</v>
      </c>
      <c r="T564" s="54" t="s">
        <v>1654</v>
      </c>
      <c r="U564" s="35">
        <f t="shared" si="195"/>
        <v>1.417142857142857</v>
      </c>
      <c r="X564" s="35" t="s">
        <v>168</v>
      </c>
      <c r="Y564" s="35">
        <f t="shared" si="196"/>
        <v>6.8714285714285719</v>
      </c>
      <c r="AB564" s="35" t="s">
        <v>1565</v>
      </c>
      <c r="AC564" s="35" t="s">
        <v>1388</v>
      </c>
      <c r="AD564" s="153" t="str">
        <f t="shared" si="176"/>
        <v>ItalianRyegrass</v>
      </c>
      <c r="AE564" s="35" t="s">
        <v>167</v>
      </c>
      <c r="AG564" s="35" t="s">
        <v>527</v>
      </c>
      <c r="AH564" s="35" t="s">
        <v>527</v>
      </c>
      <c r="AI564" s="35" t="s">
        <v>230</v>
      </c>
      <c r="AM564" s="35" t="s">
        <v>544</v>
      </c>
      <c r="AN564" s="35" t="s">
        <v>544</v>
      </c>
      <c r="AP564" s="35" t="s">
        <v>538</v>
      </c>
      <c r="AQ564" s="35">
        <v>4</v>
      </c>
      <c r="AR564" s="35">
        <v>4</v>
      </c>
      <c r="AS564" s="35" t="s">
        <v>177</v>
      </c>
      <c r="AW564" s="63"/>
      <c r="BE564" s="35">
        <v>1.57</v>
      </c>
      <c r="BF564" s="35">
        <v>1.55</v>
      </c>
      <c r="BH564" s="35">
        <v>2.48</v>
      </c>
      <c r="BI564" s="35">
        <v>2.38</v>
      </c>
      <c r="BJ564" s="35" t="s">
        <v>1106</v>
      </c>
      <c r="BN564" s="35">
        <v>13</v>
      </c>
      <c r="BO564" s="35">
        <v>14.8</v>
      </c>
      <c r="BQ564" s="35">
        <v>86</v>
      </c>
      <c r="BR564" s="35">
        <v>87</v>
      </c>
      <c r="BT564" s="35">
        <v>7</v>
      </c>
      <c r="BU564" s="35">
        <v>6.8</v>
      </c>
      <c r="CF564" s="35">
        <v>267</v>
      </c>
      <c r="CG564" s="35">
        <v>249</v>
      </c>
      <c r="CH564" s="35" t="s">
        <v>540</v>
      </c>
      <c r="CL564" s="35">
        <v>1.54</v>
      </c>
      <c r="CM564" s="35">
        <v>1.56</v>
      </c>
      <c r="CN564" s="35" t="s">
        <v>1050</v>
      </c>
      <c r="DG564" s="35">
        <v>0.23400000000000001</v>
      </c>
      <c r="DH564" s="35">
        <v>0.23</v>
      </c>
      <c r="DS564" s="12"/>
      <c r="DU564" s="15"/>
      <c r="DV564" s="35">
        <v>878</v>
      </c>
      <c r="DW564" s="35">
        <v>949</v>
      </c>
      <c r="DX564" s="35" t="s">
        <v>539</v>
      </c>
      <c r="EX564" s="39">
        <v>99999</v>
      </c>
      <c r="FA564" s="35" t="s">
        <v>542</v>
      </c>
      <c r="FB564" s="35" t="s">
        <v>1049</v>
      </c>
      <c r="FC564" s="35">
        <v>29</v>
      </c>
    </row>
    <row r="565" spans="1:159" s="35" customFormat="1" x14ac:dyDescent="0.25">
      <c r="A565" s="35">
        <v>29</v>
      </c>
      <c r="B565" s="35" t="s">
        <v>1240</v>
      </c>
      <c r="C565" s="35" t="s">
        <v>534</v>
      </c>
      <c r="D565" s="35">
        <v>2009</v>
      </c>
      <c r="E565" s="35">
        <v>2006</v>
      </c>
      <c r="F565" s="35" t="s">
        <v>363</v>
      </c>
      <c r="G565" s="35" t="s">
        <v>535</v>
      </c>
      <c r="H565" s="35">
        <f t="shared" si="193"/>
        <v>43.333333333333336</v>
      </c>
      <c r="I565" s="35">
        <f t="shared" si="194"/>
        <v>-89.716666666666669</v>
      </c>
      <c r="J565" s="35">
        <v>250</v>
      </c>
      <c r="P565" s="54" t="s">
        <v>182</v>
      </c>
      <c r="Q565" s="54"/>
      <c r="R565" s="54"/>
      <c r="S565" s="54" t="s">
        <v>1654</v>
      </c>
      <c r="T565" s="54" t="s">
        <v>1654</v>
      </c>
      <c r="U565" s="35">
        <f t="shared" si="195"/>
        <v>1.417142857142857</v>
      </c>
      <c r="X565" s="35" t="s">
        <v>168</v>
      </c>
      <c r="Y565" s="35">
        <f t="shared" si="196"/>
        <v>6.8714285714285719</v>
      </c>
      <c r="AB565" s="35" t="s">
        <v>1565</v>
      </c>
      <c r="AC565" s="35" t="s">
        <v>1389</v>
      </c>
      <c r="AD565" s="153" t="str">
        <f t="shared" si="176"/>
        <v>WinterRye</v>
      </c>
      <c r="AE565" s="35" t="s">
        <v>167</v>
      </c>
      <c r="AG565" s="35" t="s">
        <v>527</v>
      </c>
      <c r="AH565" s="35" t="s">
        <v>527</v>
      </c>
      <c r="AI565" s="35" t="s">
        <v>230</v>
      </c>
      <c r="AM565" s="35" t="s">
        <v>544</v>
      </c>
      <c r="AN565" s="35" t="s">
        <v>544</v>
      </c>
      <c r="AP565" s="35" t="s">
        <v>538</v>
      </c>
      <c r="AQ565" s="35">
        <v>4</v>
      </c>
      <c r="AR565" s="35">
        <v>4</v>
      </c>
      <c r="AS565" s="35" t="s">
        <v>177</v>
      </c>
      <c r="AW565" s="63"/>
      <c r="BE565" s="35">
        <v>1.57</v>
      </c>
      <c r="BF565" s="35">
        <v>1.51</v>
      </c>
      <c r="BH565" s="35">
        <v>2.48</v>
      </c>
      <c r="BI565" s="35">
        <v>2.38</v>
      </c>
      <c r="BJ565" s="35" t="s">
        <v>1106</v>
      </c>
      <c r="BN565" s="35">
        <v>13</v>
      </c>
      <c r="BO565" s="35">
        <v>12.8</v>
      </c>
      <c r="BQ565" s="35">
        <v>86</v>
      </c>
      <c r="BR565" s="35">
        <v>92</v>
      </c>
      <c r="BT565" s="35">
        <v>7</v>
      </c>
      <c r="BU565" s="35">
        <v>7.2</v>
      </c>
      <c r="CF565" s="35">
        <v>267</v>
      </c>
      <c r="CG565" s="35">
        <v>238</v>
      </c>
      <c r="CH565" s="35" t="s">
        <v>540</v>
      </c>
      <c r="CL565" s="35">
        <v>1.54</v>
      </c>
      <c r="CM565" s="35">
        <v>1.56</v>
      </c>
      <c r="CN565" s="35" t="s">
        <v>1050</v>
      </c>
      <c r="DG565" s="35">
        <v>0.23400000000000001</v>
      </c>
      <c r="DH565" s="35">
        <v>0.23400000000000001</v>
      </c>
      <c r="DS565" s="12"/>
      <c r="DU565" s="15"/>
      <c r="DV565" s="35">
        <v>878</v>
      </c>
      <c r="DW565" s="35">
        <v>922</v>
      </c>
      <c r="DX565" s="35" t="s">
        <v>539</v>
      </c>
      <c r="EX565" s="39">
        <v>99999</v>
      </c>
      <c r="FA565" s="35" t="s">
        <v>542</v>
      </c>
      <c r="FB565" s="35" t="s">
        <v>1049</v>
      </c>
      <c r="FC565" s="35">
        <v>29</v>
      </c>
    </row>
    <row r="566" spans="1:159" s="38" customFormat="1" x14ac:dyDescent="0.25">
      <c r="A566" s="38">
        <v>30</v>
      </c>
      <c r="B566" s="38" t="s">
        <v>545</v>
      </c>
      <c r="C566" s="38" t="s">
        <v>546</v>
      </c>
      <c r="D566" s="38">
        <v>2002</v>
      </c>
      <c r="E566" s="38">
        <v>1998</v>
      </c>
      <c r="F566" s="38" t="s">
        <v>547</v>
      </c>
      <c r="G566" s="38" t="s">
        <v>548</v>
      </c>
      <c r="H566" s="38">
        <f t="shared" ref="H566:H597" si="201">38+32/60</f>
        <v>38.533333333333331</v>
      </c>
      <c r="I566" s="38">
        <f t="shared" ref="I566:I597" si="202">-121-47/60</f>
        <v>-121.78333333333333</v>
      </c>
      <c r="J566" s="38">
        <v>18.399999999999999</v>
      </c>
      <c r="N566" s="38">
        <v>483</v>
      </c>
      <c r="P566" s="57" t="s">
        <v>180</v>
      </c>
      <c r="Q566" s="57"/>
      <c r="R566" s="57">
        <v>36145</v>
      </c>
      <c r="S566" s="57" t="s">
        <v>1660</v>
      </c>
      <c r="T566" s="57" t="s">
        <v>1682</v>
      </c>
      <c r="V566" s="38">
        <v>36</v>
      </c>
      <c r="W566" s="38">
        <v>46</v>
      </c>
      <c r="X566" s="38" t="s">
        <v>175</v>
      </c>
      <c r="AB566" s="38" t="s">
        <v>1566</v>
      </c>
      <c r="AC566" s="38" t="s">
        <v>1817</v>
      </c>
      <c r="AD566" s="153" t="str">
        <f t="shared" si="176"/>
        <v>Common_Vetch</v>
      </c>
      <c r="AE566" s="38" t="s">
        <v>1635</v>
      </c>
      <c r="AG566" s="38" t="s">
        <v>549</v>
      </c>
      <c r="AH566" s="38" t="s">
        <v>549</v>
      </c>
      <c r="AI566" s="38" t="s">
        <v>230</v>
      </c>
      <c r="AM566" s="38" t="s">
        <v>443</v>
      </c>
      <c r="AN566" s="38" t="s">
        <v>550</v>
      </c>
      <c r="AO566" s="38" t="s">
        <v>618</v>
      </c>
      <c r="AP566" s="38" t="s">
        <v>154</v>
      </c>
      <c r="AQ566" s="38">
        <v>4</v>
      </c>
      <c r="AR566" s="38">
        <v>4</v>
      </c>
      <c r="AS566" s="38" t="s">
        <v>404</v>
      </c>
      <c r="AW566" s="64"/>
      <c r="CR566" s="38">
        <v>4.8099999999999997E-2</v>
      </c>
      <c r="CS566" s="38">
        <v>9.6299999999999997E-2</v>
      </c>
      <c r="CT566" s="38" t="s">
        <v>554</v>
      </c>
      <c r="CX566" s="38">
        <f>6.84/38*100</f>
        <v>18</v>
      </c>
      <c r="CY566" s="38">
        <f>1.29/38*100</f>
        <v>3.3947368421052637</v>
      </c>
      <c r="CZ566" s="38" t="s">
        <v>553</v>
      </c>
      <c r="DG566" s="38">
        <v>0.21840000000000001</v>
      </c>
      <c r="DH566" s="38">
        <v>0.2094</v>
      </c>
      <c r="DI566" s="38" t="s">
        <v>552</v>
      </c>
      <c r="DS566" s="12"/>
      <c r="DU566" s="15"/>
      <c r="FA566" s="38" t="s">
        <v>855</v>
      </c>
      <c r="FC566" s="38">
        <v>30</v>
      </c>
    </row>
    <row r="567" spans="1:159" s="38" customFormat="1" x14ac:dyDescent="0.25">
      <c r="A567" s="38">
        <v>30</v>
      </c>
      <c r="B567" s="38" t="s">
        <v>545</v>
      </c>
      <c r="C567" s="38" t="s">
        <v>546</v>
      </c>
      <c r="D567" s="38">
        <v>2002</v>
      </c>
      <c r="E567" s="38">
        <v>1998</v>
      </c>
      <c r="F567" s="38" t="s">
        <v>547</v>
      </c>
      <c r="G567" s="38" t="s">
        <v>548</v>
      </c>
      <c r="H567" s="38">
        <f t="shared" si="201"/>
        <v>38.533333333333331</v>
      </c>
      <c r="I567" s="38">
        <f t="shared" si="202"/>
        <v>-121.78333333333333</v>
      </c>
      <c r="J567" s="38">
        <v>18.399999999999999</v>
      </c>
      <c r="N567" s="38">
        <v>483</v>
      </c>
      <c r="P567" s="57" t="s">
        <v>180</v>
      </c>
      <c r="Q567" s="57"/>
      <c r="R567" s="57">
        <v>36145</v>
      </c>
      <c r="S567" s="57" t="s">
        <v>1660</v>
      </c>
      <c r="T567" s="57" t="s">
        <v>1682</v>
      </c>
      <c r="V567" s="38">
        <v>36</v>
      </c>
      <c r="W567" s="38">
        <v>46</v>
      </c>
      <c r="X567" s="38" t="s">
        <v>175</v>
      </c>
      <c r="AB567" s="38" t="s">
        <v>1566</v>
      </c>
      <c r="AC567" s="38" t="s">
        <v>1817</v>
      </c>
      <c r="AD567" s="153" t="str">
        <f t="shared" si="176"/>
        <v>Common_Vetch</v>
      </c>
      <c r="AE567" s="38" t="s">
        <v>1635</v>
      </c>
      <c r="AG567" s="38" t="s">
        <v>549</v>
      </c>
      <c r="AH567" s="38" t="s">
        <v>549</v>
      </c>
      <c r="AI567" s="38" t="s">
        <v>230</v>
      </c>
      <c r="AM567" s="38" t="s">
        <v>443</v>
      </c>
      <c r="AN567" s="38" t="s">
        <v>551</v>
      </c>
      <c r="AO567" s="38" t="s">
        <v>618</v>
      </c>
      <c r="AP567" s="38" t="s">
        <v>154</v>
      </c>
      <c r="AQ567" s="38">
        <v>4</v>
      </c>
      <c r="AR567" s="38">
        <v>4</v>
      </c>
      <c r="AS567" s="38" t="s">
        <v>404</v>
      </c>
      <c r="AW567" s="64"/>
      <c r="CR567" s="38">
        <v>4.8099999999999997E-2</v>
      </c>
      <c r="CS567" s="38">
        <v>0.1206</v>
      </c>
      <c r="CT567" s="38" t="s">
        <v>554</v>
      </c>
      <c r="CX567" s="38">
        <f>6.84/38*100</f>
        <v>18</v>
      </c>
      <c r="CY567" s="38">
        <f>3.42/38*100</f>
        <v>9</v>
      </c>
      <c r="CZ567" s="38" t="s">
        <v>553</v>
      </c>
      <c r="DG567" s="38">
        <v>0.21840000000000001</v>
      </c>
      <c r="DH567" s="38">
        <v>0.1958</v>
      </c>
      <c r="DI567" s="38" t="s">
        <v>552</v>
      </c>
      <c r="DS567" s="12"/>
      <c r="DU567" s="15"/>
      <c r="FA567" s="38" t="s">
        <v>855</v>
      </c>
      <c r="FC567" s="38">
        <v>30</v>
      </c>
    </row>
    <row r="568" spans="1:159" s="38" customFormat="1" x14ac:dyDescent="0.25">
      <c r="A568" s="38">
        <v>30</v>
      </c>
      <c r="B568" s="38" t="s">
        <v>545</v>
      </c>
      <c r="C568" s="38" t="s">
        <v>546</v>
      </c>
      <c r="D568" s="38">
        <v>2002</v>
      </c>
      <c r="E568" s="38">
        <v>1999</v>
      </c>
      <c r="F568" s="38" t="s">
        <v>547</v>
      </c>
      <c r="G568" s="38" t="s">
        <v>548</v>
      </c>
      <c r="H568" s="38">
        <f t="shared" si="201"/>
        <v>38.533333333333331</v>
      </c>
      <c r="I568" s="38">
        <f t="shared" si="202"/>
        <v>-121.78333333333333</v>
      </c>
      <c r="J568" s="38">
        <v>18.399999999999999</v>
      </c>
      <c r="N568" s="38">
        <v>483</v>
      </c>
      <c r="P568" s="57" t="s">
        <v>181</v>
      </c>
      <c r="Q568" s="57"/>
      <c r="R568" s="57">
        <v>36170</v>
      </c>
      <c r="S568" s="57" t="s">
        <v>1660</v>
      </c>
      <c r="T568" s="57" t="s">
        <v>1682</v>
      </c>
      <c r="V568" s="38">
        <v>36</v>
      </c>
      <c r="W568" s="38">
        <v>46</v>
      </c>
      <c r="X568" s="38" t="s">
        <v>175</v>
      </c>
      <c r="AB568" s="38" t="s">
        <v>1566</v>
      </c>
      <c r="AC568" s="38" t="s">
        <v>1817</v>
      </c>
      <c r="AD568" s="153" t="str">
        <f t="shared" si="176"/>
        <v>Common_Vetch</v>
      </c>
      <c r="AE568" s="38" t="s">
        <v>1635</v>
      </c>
      <c r="AG568" s="38" t="s">
        <v>549</v>
      </c>
      <c r="AH568" s="38" t="s">
        <v>549</v>
      </c>
      <c r="AI568" s="38" t="s">
        <v>230</v>
      </c>
      <c r="AM568" s="38" t="s">
        <v>443</v>
      </c>
      <c r="AN568" s="38" t="s">
        <v>550</v>
      </c>
      <c r="AO568" s="38" t="s">
        <v>618</v>
      </c>
      <c r="AP568" s="38" t="s">
        <v>154</v>
      </c>
      <c r="AQ568" s="38">
        <v>4</v>
      </c>
      <c r="AR568" s="38">
        <v>4</v>
      </c>
      <c r="AS568" s="38" t="s">
        <v>404</v>
      </c>
      <c r="AW568" s="64"/>
      <c r="CR568" s="38">
        <v>2.4E-2</v>
      </c>
      <c r="CS568" s="38">
        <v>9.6000000000000002E-2</v>
      </c>
      <c r="CT568" s="38" t="s">
        <v>554</v>
      </c>
      <c r="CX568" s="38">
        <f>5.95/14.2*100</f>
        <v>41.901408450704231</v>
      </c>
      <c r="CY568" s="38">
        <f>0.97/14.2*100</f>
        <v>6.830985915492958</v>
      </c>
      <c r="CZ568" s="38" t="s">
        <v>553</v>
      </c>
      <c r="DG568" s="38">
        <v>0.1966</v>
      </c>
      <c r="DH568" s="38">
        <v>0.20660000000000001</v>
      </c>
      <c r="DI568" s="38" t="s">
        <v>552</v>
      </c>
      <c r="DS568" s="12"/>
      <c r="DU568" s="15"/>
      <c r="FA568" s="38" t="s">
        <v>855</v>
      </c>
      <c r="FC568" s="38">
        <v>30</v>
      </c>
    </row>
    <row r="569" spans="1:159" s="38" customFormat="1" x14ac:dyDescent="0.25">
      <c r="A569" s="38">
        <v>30</v>
      </c>
      <c r="B569" s="38" t="s">
        <v>545</v>
      </c>
      <c r="C569" s="38" t="s">
        <v>546</v>
      </c>
      <c r="D569" s="38">
        <v>2002</v>
      </c>
      <c r="E569" s="38">
        <v>1999</v>
      </c>
      <c r="F569" s="38" t="s">
        <v>547</v>
      </c>
      <c r="G569" s="38" t="s">
        <v>548</v>
      </c>
      <c r="H569" s="38">
        <f t="shared" si="201"/>
        <v>38.533333333333331</v>
      </c>
      <c r="I569" s="38">
        <f t="shared" si="202"/>
        <v>-121.78333333333333</v>
      </c>
      <c r="J569" s="38">
        <v>18.399999999999999</v>
      </c>
      <c r="N569" s="38">
        <v>483</v>
      </c>
      <c r="P569" s="57" t="s">
        <v>181</v>
      </c>
      <c r="Q569" s="57"/>
      <c r="R569" s="57">
        <v>36170</v>
      </c>
      <c r="S569" s="57" t="s">
        <v>1660</v>
      </c>
      <c r="T569" s="57" t="s">
        <v>1682</v>
      </c>
      <c r="V569" s="38">
        <v>36</v>
      </c>
      <c r="W569" s="38">
        <v>46</v>
      </c>
      <c r="X569" s="38" t="s">
        <v>175</v>
      </c>
      <c r="AB569" s="38" t="s">
        <v>1566</v>
      </c>
      <c r="AC569" s="38" t="s">
        <v>1817</v>
      </c>
      <c r="AD569" s="153" t="str">
        <f t="shared" si="176"/>
        <v>Common_Vetch</v>
      </c>
      <c r="AE569" s="38" t="s">
        <v>1635</v>
      </c>
      <c r="AG569" s="38" t="s">
        <v>549</v>
      </c>
      <c r="AH569" s="38" t="s">
        <v>549</v>
      </c>
      <c r="AI569" s="38" t="s">
        <v>230</v>
      </c>
      <c r="AM569" s="38" t="s">
        <v>443</v>
      </c>
      <c r="AN569" s="38" t="s">
        <v>551</v>
      </c>
      <c r="AO569" s="38" t="s">
        <v>618</v>
      </c>
      <c r="AP569" s="38" t="s">
        <v>154</v>
      </c>
      <c r="AQ569" s="38">
        <v>4</v>
      </c>
      <c r="AR569" s="38">
        <v>4</v>
      </c>
      <c r="AS569" s="38" t="s">
        <v>404</v>
      </c>
      <c r="AW569" s="64"/>
      <c r="CR569" s="38">
        <v>2.4E-2</v>
      </c>
      <c r="CS569" s="38">
        <v>9.6000000000000002E-2</v>
      </c>
      <c r="CT569" s="38" t="s">
        <v>554</v>
      </c>
      <c r="CX569" s="38">
        <f>5.95/14.2*100</f>
        <v>41.901408450704231</v>
      </c>
      <c r="CY569" s="38">
        <f>1.46/14.2*100</f>
        <v>10.28169014084507</v>
      </c>
      <c r="CZ569" s="38" t="s">
        <v>553</v>
      </c>
      <c r="DG569" s="38">
        <v>0.1966</v>
      </c>
      <c r="DH569" s="38">
        <v>0.1885</v>
      </c>
      <c r="DI569" s="38" t="s">
        <v>552</v>
      </c>
      <c r="DS569" s="12"/>
      <c r="DU569" s="15"/>
      <c r="FA569" s="38" t="s">
        <v>855</v>
      </c>
      <c r="FC569" s="38">
        <v>30</v>
      </c>
    </row>
    <row r="570" spans="1:159" s="38" customFormat="1" x14ac:dyDescent="0.25">
      <c r="A570" s="38">
        <v>30</v>
      </c>
      <c r="B570" s="38" t="s">
        <v>545</v>
      </c>
      <c r="C570" s="38" t="s">
        <v>546</v>
      </c>
      <c r="D570" s="38">
        <v>2002</v>
      </c>
      <c r="E570" s="38">
        <v>1999</v>
      </c>
      <c r="F570" s="38" t="s">
        <v>547</v>
      </c>
      <c r="G570" s="38" t="s">
        <v>548</v>
      </c>
      <c r="H570" s="38">
        <f t="shared" si="201"/>
        <v>38.533333333333331</v>
      </c>
      <c r="I570" s="38">
        <f t="shared" si="202"/>
        <v>-121.78333333333333</v>
      </c>
      <c r="J570" s="38">
        <v>18.399999999999999</v>
      </c>
      <c r="N570" s="38">
        <v>483</v>
      </c>
      <c r="P570" s="57" t="s">
        <v>181</v>
      </c>
      <c r="Q570" s="57"/>
      <c r="R570" s="57">
        <v>36187</v>
      </c>
      <c r="S570" s="57" t="s">
        <v>1660</v>
      </c>
      <c r="T570" s="57" t="s">
        <v>1682</v>
      </c>
      <c r="V570" s="38">
        <v>36</v>
      </c>
      <c r="W570" s="38">
        <v>46</v>
      </c>
      <c r="X570" s="38" t="s">
        <v>175</v>
      </c>
      <c r="AB570" s="38" t="s">
        <v>1566</v>
      </c>
      <c r="AC570" s="38" t="s">
        <v>1817</v>
      </c>
      <c r="AD570" s="153" t="str">
        <f t="shared" si="176"/>
        <v>Common_Vetch</v>
      </c>
      <c r="AE570" s="38" t="s">
        <v>1635</v>
      </c>
      <c r="AG570" s="38" t="s">
        <v>549</v>
      </c>
      <c r="AH570" s="38" t="s">
        <v>549</v>
      </c>
      <c r="AI570" s="38" t="s">
        <v>230</v>
      </c>
      <c r="AM570" s="38" t="s">
        <v>443</v>
      </c>
      <c r="AN570" s="38" t="s">
        <v>550</v>
      </c>
      <c r="AO570" s="38" t="s">
        <v>618</v>
      </c>
      <c r="AP570" s="38" t="s">
        <v>154</v>
      </c>
      <c r="AQ570" s="38">
        <v>4</v>
      </c>
      <c r="AR570" s="38">
        <v>4</v>
      </c>
      <c r="AS570" s="38" t="s">
        <v>404</v>
      </c>
      <c r="AW570" s="64"/>
      <c r="CR570" s="38">
        <v>1.24E-2</v>
      </c>
      <c r="CS570" s="38">
        <v>9.6500000000000002E-2</v>
      </c>
      <c r="CT570" s="38" t="s">
        <v>554</v>
      </c>
      <c r="CX570" s="38">
        <v>0</v>
      </c>
      <c r="CY570" s="38">
        <f>0.16/2.9*100</f>
        <v>5.5172413793103452</v>
      </c>
      <c r="CZ570" s="38" t="s">
        <v>553</v>
      </c>
      <c r="DG570" s="38">
        <v>0.22539999999999999</v>
      </c>
      <c r="DH570" s="38">
        <v>0.2137</v>
      </c>
      <c r="DI570" s="38" t="s">
        <v>552</v>
      </c>
      <c r="DS570" s="12"/>
      <c r="DU570" s="15"/>
      <c r="FA570" s="38" t="s">
        <v>855</v>
      </c>
      <c r="FC570" s="38">
        <v>30</v>
      </c>
    </row>
    <row r="571" spans="1:159" s="38" customFormat="1" x14ac:dyDescent="0.25">
      <c r="A571" s="38">
        <v>30</v>
      </c>
      <c r="B571" s="38" t="s">
        <v>545</v>
      </c>
      <c r="C571" s="38" t="s">
        <v>546</v>
      </c>
      <c r="D571" s="38">
        <v>2002</v>
      </c>
      <c r="E571" s="38">
        <v>1999</v>
      </c>
      <c r="F571" s="38" t="s">
        <v>547</v>
      </c>
      <c r="G571" s="38" t="s">
        <v>548</v>
      </c>
      <c r="H571" s="38">
        <f t="shared" si="201"/>
        <v>38.533333333333331</v>
      </c>
      <c r="I571" s="38">
        <f t="shared" si="202"/>
        <v>-121.78333333333333</v>
      </c>
      <c r="J571" s="38">
        <v>18.399999999999999</v>
      </c>
      <c r="N571" s="38">
        <v>483</v>
      </c>
      <c r="P571" s="57" t="s">
        <v>181</v>
      </c>
      <c r="Q571" s="57"/>
      <c r="R571" s="57">
        <v>36187</v>
      </c>
      <c r="S571" s="57" t="s">
        <v>1660</v>
      </c>
      <c r="T571" s="57" t="s">
        <v>1682</v>
      </c>
      <c r="V571" s="38">
        <v>36</v>
      </c>
      <c r="W571" s="38">
        <v>46</v>
      </c>
      <c r="X571" s="38" t="s">
        <v>175</v>
      </c>
      <c r="AB571" s="38" t="s">
        <v>1566</v>
      </c>
      <c r="AC571" s="38" t="s">
        <v>1817</v>
      </c>
      <c r="AD571" s="153" t="str">
        <f t="shared" si="176"/>
        <v>Common_Vetch</v>
      </c>
      <c r="AE571" s="38" t="s">
        <v>1635</v>
      </c>
      <c r="AG571" s="38" t="s">
        <v>549</v>
      </c>
      <c r="AH571" s="38" t="s">
        <v>549</v>
      </c>
      <c r="AI571" s="38" t="s">
        <v>230</v>
      </c>
      <c r="AM571" s="38" t="s">
        <v>443</v>
      </c>
      <c r="AN571" s="38" t="s">
        <v>551</v>
      </c>
      <c r="AO571" s="38" t="s">
        <v>618</v>
      </c>
      <c r="AP571" s="38" t="s">
        <v>154</v>
      </c>
      <c r="AQ571" s="38">
        <v>4</v>
      </c>
      <c r="AR571" s="38">
        <v>4</v>
      </c>
      <c r="AS571" s="38" t="s">
        <v>404</v>
      </c>
      <c r="AW571" s="64"/>
      <c r="CR571" s="38">
        <v>1.24E-2</v>
      </c>
      <c r="CS571" s="38">
        <v>7.8600000000000003E-2</v>
      </c>
      <c r="CT571" s="38" t="s">
        <v>554</v>
      </c>
      <c r="CX571" s="38">
        <v>0</v>
      </c>
      <c r="CY571" s="38">
        <f>0.02/2.9*100</f>
        <v>0.68965517241379315</v>
      </c>
      <c r="CZ571" s="38" t="s">
        <v>553</v>
      </c>
      <c r="DG571" s="38">
        <v>0.22539999999999999</v>
      </c>
      <c r="DH571" s="38">
        <v>0.19919999999999999</v>
      </c>
      <c r="DI571" s="38" t="s">
        <v>552</v>
      </c>
      <c r="DS571" s="12"/>
      <c r="DU571" s="15"/>
      <c r="FA571" s="38" t="s">
        <v>855</v>
      </c>
      <c r="FC571" s="38">
        <v>30</v>
      </c>
    </row>
    <row r="572" spans="1:159" s="38" customFormat="1" x14ac:dyDescent="0.25">
      <c r="A572" s="38">
        <v>30</v>
      </c>
      <c r="B572" s="38" t="s">
        <v>545</v>
      </c>
      <c r="C572" s="38" t="s">
        <v>546</v>
      </c>
      <c r="D572" s="38">
        <v>2002</v>
      </c>
      <c r="E572" s="38">
        <v>1999</v>
      </c>
      <c r="F572" s="38" t="s">
        <v>547</v>
      </c>
      <c r="G572" s="38" t="s">
        <v>548</v>
      </c>
      <c r="H572" s="38">
        <f t="shared" si="201"/>
        <v>38.533333333333331</v>
      </c>
      <c r="I572" s="38">
        <f t="shared" si="202"/>
        <v>-121.78333333333333</v>
      </c>
      <c r="J572" s="38">
        <v>18.399999999999999</v>
      </c>
      <c r="N572" s="38">
        <v>483</v>
      </c>
      <c r="P572" s="57" t="s">
        <v>181</v>
      </c>
      <c r="Q572" s="57"/>
      <c r="R572" s="57">
        <v>36198</v>
      </c>
      <c r="S572" s="57" t="s">
        <v>1660</v>
      </c>
      <c r="T572" s="57" t="s">
        <v>1682</v>
      </c>
      <c r="V572" s="38">
        <v>36</v>
      </c>
      <c r="W572" s="38">
        <v>46</v>
      </c>
      <c r="X572" s="38" t="s">
        <v>175</v>
      </c>
      <c r="AB572" s="38" t="s">
        <v>1566</v>
      </c>
      <c r="AC572" s="38" t="s">
        <v>1817</v>
      </c>
      <c r="AD572" s="153" t="str">
        <f t="shared" si="176"/>
        <v>Common_Vetch</v>
      </c>
      <c r="AE572" s="38" t="s">
        <v>1635</v>
      </c>
      <c r="AG572" s="38" t="s">
        <v>549</v>
      </c>
      <c r="AH572" s="38" t="s">
        <v>549</v>
      </c>
      <c r="AI572" s="38" t="s">
        <v>230</v>
      </c>
      <c r="AM572" s="38" t="s">
        <v>443</v>
      </c>
      <c r="AN572" s="38" t="s">
        <v>550</v>
      </c>
      <c r="AO572" s="38" t="s">
        <v>618</v>
      </c>
      <c r="AP572" s="38" t="s">
        <v>154</v>
      </c>
      <c r="AQ572" s="38">
        <v>4</v>
      </c>
      <c r="AR572" s="38">
        <v>4</v>
      </c>
      <c r="AS572" s="38" t="s">
        <v>404</v>
      </c>
      <c r="AW572" s="64"/>
      <c r="CR572" s="38">
        <v>1.2999999999999999E-2</v>
      </c>
      <c r="CS572" s="38">
        <v>6.9000000000000006E-2</v>
      </c>
      <c r="CT572" s="38" t="s">
        <v>554</v>
      </c>
      <c r="CX572" s="38">
        <f>2.22/17.1*100</f>
        <v>12.982456140350877</v>
      </c>
      <c r="CY572" s="38">
        <f>1.68/17.1*100</f>
        <v>9.8245614035087705</v>
      </c>
      <c r="CZ572" s="38" t="s">
        <v>553</v>
      </c>
      <c r="DG572" s="38">
        <v>0.26869999999999999</v>
      </c>
      <c r="DH572" s="38">
        <v>0.28589999999999999</v>
      </c>
      <c r="DI572" s="38" t="s">
        <v>552</v>
      </c>
      <c r="DS572" s="12"/>
      <c r="DU572" s="15"/>
      <c r="FA572" s="38" t="s">
        <v>855</v>
      </c>
      <c r="FC572" s="38">
        <v>30</v>
      </c>
    </row>
    <row r="573" spans="1:159" s="38" customFormat="1" x14ac:dyDescent="0.25">
      <c r="A573" s="38">
        <v>30</v>
      </c>
      <c r="B573" s="38" t="s">
        <v>545</v>
      </c>
      <c r="C573" s="38" t="s">
        <v>546</v>
      </c>
      <c r="D573" s="38">
        <v>2002</v>
      </c>
      <c r="E573" s="38">
        <v>1999</v>
      </c>
      <c r="F573" s="38" t="s">
        <v>547</v>
      </c>
      <c r="G573" s="38" t="s">
        <v>548</v>
      </c>
      <c r="H573" s="38">
        <f t="shared" si="201"/>
        <v>38.533333333333331</v>
      </c>
      <c r="I573" s="38">
        <f t="shared" si="202"/>
        <v>-121.78333333333333</v>
      </c>
      <c r="J573" s="38">
        <v>18.399999999999999</v>
      </c>
      <c r="N573" s="38">
        <v>483</v>
      </c>
      <c r="P573" s="57" t="s">
        <v>181</v>
      </c>
      <c r="Q573" s="57"/>
      <c r="R573" s="57">
        <v>36198</v>
      </c>
      <c r="S573" s="57" t="s">
        <v>1660</v>
      </c>
      <c r="T573" s="57" t="s">
        <v>1682</v>
      </c>
      <c r="V573" s="38">
        <v>36</v>
      </c>
      <c r="W573" s="38">
        <v>46</v>
      </c>
      <c r="X573" s="38" t="s">
        <v>175</v>
      </c>
      <c r="AB573" s="38" t="s">
        <v>1566</v>
      </c>
      <c r="AC573" s="38" t="s">
        <v>1817</v>
      </c>
      <c r="AD573" s="153" t="str">
        <f t="shared" si="176"/>
        <v>Common_Vetch</v>
      </c>
      <c r="AE573" s="38" t="s">
        <v>1635</v>
      </c>
      <c r="AG573" s="38" t="s">
        <v>549</v>
      </c>
      <c r="AH573" s="38" t="s">
        <v>549</v>
      </c>
      <c r="AI573" s="38" t="s">
        <v>230</v>
      </c>
      <c r="AM573" s="38" t="s">
        <v>443</v>
      </c>
      <c r="AN573" s="38" t="s">
        <v>551</v>
      </c>
      <c r="AO573" s="38" t="s">
        <v>618</v>
      </c>
      <c r="AP573" s="38" t="s">
        <v>154</v>
      </c>
      <c r="AQ573" s="38">
        <v>4</v>
      </c>
      <c r="AR573" s="38">
        <v>4</v>
      </c>
      <c r="AS573" s="38" t="s">
        <v>404</v>
      </c>
      <c r="AW573" s="64"/>
      <c r="CR573" s="38">
        <v>1.2999999999999999E-2</v>
      </c>
      <c r="CS573" s="38">
        <v>7.8E-2</v>
      </c>
      <c r="CT573" s="38" t="s">
        <v>554</v>
      </c>
      <c r="CX573" s="38">
        <f>2.22/17.1*100</f>
        <v>12.982456140350877</v>
      </c>
      <c r="CY573" s="38">
        <f>1.39/17.1*100</f>
        <v>8.1286549707602322</v>
      </c>
      <c r="CZ573" s="38" t="s">
        <v>553</v>
      </c>
      <c r="DG573" s="38">
        <v>0.26869999999999999</v>
      </c>
      <c r="DH573" s="38">
        <v>0.28589999999999999</v>
      </c>
      <c r="DI573" s="38" t="s">
        <v>552</v>
      </c>
      <c r="DS573" s="12"/>
      <c r="DU573" s="15"/>
      <c r="FA573" s="38" t="s">
        <v>855</v>
      </c>
      <c r="FC573" s="38">
        <v>30</v>
      </c>
    </row>
    <row r="574" spans="1:159" s="38" customFormat="1" x14ac:dyDescent="0.25">
      <c r="A574" s="38">
        <v>30</v>
      </c>
      <c r="B574" s="38" t="s">
        <v>545</v>
      </c>
      <c r="C574" s="38" t="s">
        <v>546</v>
      </c>
      <c r="D574" s="38">
        <v>2002</v>
      </c>
      <c r="E574" s="38">
        <v>1999</v>
      </c>
      <c r="F574" s="38" t="s">
        <v>547</v>
      </c>
      <c r="G574" s="38" t="s">
        <v>548</v>
      </c>
      <c r="H574" s="38">
        <f t="shared" si="201"/>
        <v>38.533333333333331</v>
      </c>
      <c r="I574" s="38">
        <f t="shared" si="202"/>
        <v>-121.78333333333333</v>
      </c>
      <c r="J574" s="38">
        <v>18.399999999999999</v>
      </c>
      <c r="N574" s="38">
        <v>483</v>
      </c>
      <c r="P574" s="57" t="s">
        <v>181</v>
      </c>
      <c r="Q574" s="57"/>
      <c r="R574" s="57">
        <v>36232</v>
      </c>
      <c r="S574" s="57" t="s">
        <v>1660</v>
      </c>
      <c r="T574" s="57" t="s">
        <v>1682</v>
      </c>
      <c r="V574" s="38">
        <v>36</v>
      </c>
      <c r="W574" s="38">
        <v>46</v>
      </c>
      <c r="X574" s="38" t="s">
        <v>175</v>
      </c>
      <c r="AB574" s="38" t="s">
        <v>1566</v>
      </c>
      <c r="AC574" s="38" t="s">
        <v>1817</v>
      </c>
      <c r="AD574" s="153" t="str">
        <f t="shared" si="176"/>
        <v>Common_Vetch</v>
      </c>
      <c r="AE574" s="38" t="s">
        <v>1635</v>
      </c>
      <c r="AG574" s="38" t="s">
        <v>549</v>
      </c>
      <c r="AH574" s="38" t="s">
        <v>549</v>
      </c>
      <c r="AI574" s="38" t="s">
        <v>230</v>
      </c>
      <c r="AM574" s="38" t="s">
        <v>443</v>
      </c>
      <c r="AN574" s="38" t="s">
        <v>550</v>
      </c>
      <c r="AO574" s="38" t="s">
        <v>618</v>
      </c>
      <c r="AP574" s="38" t="s">
        <v>154</v>
      </c>
      <c r="AQ574" s="38">
        <v>4</v>
      </c>
      <c r="AR574" s="38">
        <v>4</v>
      </c>
      <c r="AS574" s="38" t="s">
        <v>404</v>
      </c>
      <c r="AW574" s="64"/>
      <c r="CR574" s="38">
        <v>4.7999999999999996E-3</v>
      </c>
      <c r="CS574" s="38">
        <v>6.9000000000000006E-2</v>
      </c>
      <c r="CT574" s="38" t="s">
        <v>554</v>
      </c>
      <c r="CX574" s="38">
        <f>3.41/14.3*100</f>
        <v>23.846153846153843</v>
      </c>
      <c r="CY574" s="38">
        <f>0.21/14.3*100</f>
        <v>1.4685314685314685</v>
      </c>
      <c r="CZ574" s="38" t="s">
        <v>553</v>
      </c>
      <c r="DG574" s="38">
        <v>0.25319999999999998</v>
      </c>
      <c r="DH574" s="38">
        <v>0.25869999999999999</v>
      </c>
      <c r="DI574" s="38" t="s">
        <v>552</v>
      </c>
      <c r="DS574" s="12"/>
      <c r="DU574" s="15"/>
      <c r="FA574" s="38" t="s">
        <v>855</v>
      </c>
      <c r="FC574" s="38">
        <v>30</v>
      </c>
    </row>
    <row r="575" spans="1:159" s="38" customFormat="1" x14ac:dyDescent="0.25">
      <c r="A575" s="38">
        <v>30</v>
      </c>
      <c r="B575" s="38" t="s">
        <v>545</v>
      </c>
      <c r="C575" s="38" t="s">
        <v>546</v>
      </c>
      <c r="D575" s="38">
        <v>2002</v>
      </c>
      <c r="E575" s="38">
        <v>1999</v>
      </c>
      <c r="F575" s="38" t="s">
        <v>547</v>
      </c>
      <c r="G575" s="38" t="s">
        <v>548</v>
      </c>
      <c r="H575" s="38">
        <f t="shared" si="201"/>
        <v>38.533333333333331</v>
      </c>
      <c r="I575" s="38">
        <f t="shared" si="202"/>
        <v>-121.78333333333333</v>
      </c>
      <c r="J575" s="38">
        <v>18.399999999999999</v>
      </c>
      <c r="N575" s="38">
        <v>483</v>
      </c>
      <c r="P575" s="57" t="s">
        <v>181</v>
      </c>
      <c r="Q575" s="57"/>
      <c r="R575" s="57">
        <v>36232</v>
      </c>
      <c r="S575" s="57" t="s">
        <v>1660</v>
      </c>
      <c r="T575" s="57" t="s">
        <v>1682</v>
      </c>
      <c r="V575" s="38">
        <v>36</v>
      </c>
      <c r="W575" s="38">
        <v>46</v>
      </c>
      <c r="X575" s="38" t="s">
        <v>175</v>
      </c>
      <c r="AB575" s="38" t="s">
        <v>1566</v>
      </c>
      <c r="AC575" s="38" t="s">
        <v>1817</v>
      </c>
      <c r="AD575" s="153" t="str">
        <f t="shared" si="176"/>
        <v>Common_Vetch</v>
      </c>
      <c r="AE575" s="38" t="s">
        <v>1635</v>
      </c>
      <c r="AG575" s="38" t="s">
        <v>549</v>
      </c>
      <c r="AH575" s="38" t="s">
        <v>549</v>
      </c>
      <c r="AI575" s="38" t="s">
        <v>230</v>
      </c>
      <c r="AM575" s="38" t="s">
        <v>443</v>
      </c>
      <c r="AN575" s="38" t="s">
        <v>551</v>
      </c>
      <c r="AO575" s="38" t="s">
        <v>618</v>
      </c>
      <c r="AP575" s="38" t="s">
        <v>154</v>
      </c>
      <c r="AQ575" s="38">
        <v>4</v>
      </c>
      <c r="AR575" s="38">
        <v>4</v>
      </c>
      <c r="AS575" s="38" t="s">
        <v>404</v>
      </c>
      <c r="AW575" s="64"/>
      <c r="CR575" s="38">
        <v>4.7999999999999996E-3</v>
      </c>
      <c r="CS575" s="38">
        <v>7.8E-2</v>
      </c>
      <c r="CT575" s="38" t="s">
        <v>554</v>
      </c>
      <c r="CX575" s="38">
        <f>3.41/14.3*100</f>
        <v>23.846153846153843</v>
      </c>
      <c r="CY575" s="38">
        <f>1.01/14.3*100</f>
        <v>7.0629370629370625</v>
      </c>
      <c r="CZ575" s="38" t="s">
        <v>553</v>
      </c>
      <c r="DG575" s="38">
        <v>0.25319999999999998</v>
      </c>
      <c r="DH575" s="38">
        <v>0.25869999999999999</v>
      </c>
      <c r="DI575" s="38" t="s">
        <v>552</v>
      </c>
      <c r="DS575" s="12"/>
      <c r="DU575" s="15"/>
      <c r="FA575" s="38" t="s">
        <v>855</v>
      </c>
      <c r="FC575" s="38">
        <v>30</v>
      </c>
    </row>
    <row r="576" spans="1:159" s="38" customFormat="1" x14ac:dyDescent="0.25">
      <c r="A576" s="38">
        <v>30</v>
      </c>
      <c r="B576" s="38" t="s">
        <v>545</v>
      </c>
      <c r="C576" s="38" t="s">
        <v>546</v>
      </c>
      <c r="D576" s="38">
        <v>2002</v>
      </c>
      <c r="E576" s="38">
        <v>1999</v>
      </c>
      <c r="F576" s="38" t="s">
        <v>547</v>
      </c>
      <c r="G576" s="38" t="s">
        <v>548</v>
      </c>
      <c r="H576" s="38">
        <f t="shared" si="201"/>
        <v>38.533333333333331</v>
      </c>
      <c r="I576" s="38">
        <f t="shared" si="202"/>
        <v>-121.78333333333333</v>
      </c>
      <c r="J576" s="38">
        <v>18.399999999999999</v>
      </c>
      <c r="N576" s="38">
        <v>483</v>
      </c>
      <c r="P576" s="57" t="s">
        <v>181</v>
      </c>
      <c r="Q576" s="57"/>
      <c r="R576" s="57">
        <v>36234</v>
      </c>
      <c r="S576" s="57" t="s">
        <v>1660</v>
      </c>
      <c r="T576" s="57" t="s">
        <v>1682</v>
      </c>
      <c r="V576" s="38">
        <v>36</v>
      </c>
      <c r="W576" s="38">
        <v>46</v>
      </c>
      <c r="X576" s="38" t="s">
        <v>175</v>
      </c>
      <c r="AB576" s="38" t="s">
        <v>1566</v>
      </c>
      <c r="AC576" s="38" t="s">
        <v>1817</v>
      </c>
      <c r="AD576" s="153" t="str">
        <f t="shared" si="176"/>
        <v>Common_Vetch</v>
      </c>
      <c r="AE576" s="38" t="s">
        <v>1635</v>
      </c>
      <c r="AG576" s="38" t="s">
        <v>549</v>
      </c>
      <c r="AH576" s="38" t="s">
        <v>549</v>
      </c>
      <c r="AI576" s="38" t="s">
        <v>230</v>
      </c>
      <c r="AM576" s="38" t="s">
        <v>443</v>
      </c>
      <c r="AN576" s="38" t="s">
        <v>550</v>
      </c>
      <c r="AO576" s="38" t="s">
        <v>618</v>
      </c>
      <c r="AP576" s="38" t="s">
        <v>154</v>
      </c>
      <c r="AQ576" s="38">
        <v>4</v>
      </c>
      <c r="AR576" s="38">
        <v>4</v>
      </c>
      <c r="AS576" s="38" t="s">
        <v>404</v>
      </c>
      <c r="AW576" s="64"/>
      <c r="CR576" s="38">
        <v>3.7000000000000002E-3</v>
      </c>
      <c r="CS576" s="38">
        <v>6.3E-2</v>
      </c>
      <c r="CT576" s="38" t="s">
        <v>554</v>
      </c>
      <c r="CX576" s="38">
        <v>0</v>
      </c>
      <c r="CY576" s="38">
        <v>0</v>
      </c>
      <c r="CZ576" s="38" t="s">
        <v>553</v>
      </c>
      <c r="DG576" s="38">
        <v>0.246</v>
      </c>
      <c r="DH576" s="38">
        <v>0.24779999999999999</v>
      </c>
      <c r="DI576" s="38" t="s">
        <v>552</v>
      </c>
      <c r="DS576" s="12"/>
      <c r="DU576" s="15"/>
      <c r="FA576" s="38" t="s">
        <v>855</v>
      </c>
      <c r="FC576" s="38">
        <v>30</v>
      </c>
    </row>
    <row r="577" spans="1:159" s="38" customFormat="1" x14ac:dyDescent="0.25">
      <c r="A577" s="38">
        <v>30</v>
      </c>
      <c r="B577" s="38" t="s">
        <v>545</v>
      </c>
      <c r="C577" s="38" t="s">
        <v>546</v>
      </c>
      <c r="D577" s="38">
        <v>2002</v>
      </c>
      <c r="E577" s="38">
        <v>1999</v>
      </c>
      <c r="F577" s="38" t="s">
        <v>547</v>
      </c>
      <c r="G577" s="38" t="s">
        <v>548</v>
      </c>
      <c r="H577" s="38">
        <f t="shared" si="201"/>
        <v>38.533333333333331</v>
      </c>
      <c r="I577" s="38">
        <f t="shared" si="202"/>
        <v>-121.78333333333333</v>
      </c>
      <c r="J577" s="38">
        <v>18.399999999999999</v>
      </c>
      <c r="N577" s="38">
        <v>483</v>
      </c>
      <c r="P577" s="57" t="s">
        <v>181</v>
      </c>
      <c r="Q577" s="57"/>
      <c r="R577" s="57">
        <v>36234</v>
      </c>
      <c r="S577" s="57" t="s">
        <v>1660</v>
      </c>
      <c r="T577" s="57" t="s">
        <v>1682</v>
      </c>
      <c r="V577" s="38">
        <v>36</v>
      </c>
      <c r="W577" s="38">
        <v>46</v>
      </c>
      <c r="X577" s="38" t="s">
        <v>175</v>
      </c>
      <c r="AB577" s="38" t="s">
        <v>1566</v>
      </c>
      <c r="AC577" s="38" t="s">
        <v>1817</v>
      </c>
      <c r="AD577" s="153" t="str">
        <f t="shared" si="176"/>
        <v>Common_Vetch</v>
      </c>
      <c r="AE577" s="38" t="s">
        <v>1635</v>
      </c>
      <c r="AG577" s="38" t="s">
        <v>549</v>
      </c>
      <c r="AH577" s="38" t="s">
        <v>549</v>
      </c>
      <c r="AI577" s="38" t="s">
        <v>230</v>
      </c>
      <c r="AM577" s="38" t="s">
        <v>443</v>
      </c>
      <c r="AN577" s="38" t="s">
        <v>551</v>
      </c>
      <c r="AO577" s="38" t="s">
        <v>618</v>
      </c>
      <c r="AP577" s="38" t="s">
        <v>154</v>
      </c>
      <c r="AQ577" s="38">
        <v>4</v>
      </c>
      <c r="AR577" s="38">
        <v>4</v>
      </c>
      <c r="AS577" s="38" t="s">
        <v>404</v>
      </c>
      <c r="AW577" s="64"/>
      <c r="CR577" s="38">
        <v>3.7000000000000002E-3</v>
      </c>
      <c r="CS577" s="38">
        <v>7.6999999999999999E-2</v>
      </c>
      <c r="CT577" s="38" t="s">
        <v>554</v>
      </c>
      <c r="CX577" s="38">
        <v>0</v>
      </c>
      <c r="CY577" s="38">
        <v>0</v>
      </c>
      <c r="CZ577" s="38" t="s">
        <v>553</v>
      </c>
      <c r="DG577" s="38">
        <v>0.246</v>
      </c>
      <c r="DH577" s="38">
        <v>0.24779999999999999</v>
      </c>
      <c r="DI577" s="38" t="s">
        <v>552</v>
      </c>
      <c r="DS577" s="12"/>
      <c r="DU577" s="15"/>
      <c r="FA577" s="38" t="s">
        <v>855</v>
      </c>
      <c r="FC577" s="38">
        <v>30</v>
      </c>
    </row>
    <row r="578" spans="1:159" s="38" customFormat="1" x14ac:dyDescent="0.25">
      <c r="A578" s="38">
        <v>30</v>
      </c>
      <c r="B578" s="38" t="s">
        <v>545</v>
      </c>
      <c r="C578" s="38" t="s">
        <v>546</v>
      </c>
      <c r="D578" s="38">
        <v>2002</v>
      </c>
      <c r="E578" s="38">
        <v>1999</v>
      </c>
      <c r="F578" s="38" t="s">
        <v>547</v>
      </c>
      <c r="G578" s="38" t="s">
        <v>548</v>
      </c>
      <c r="H578" s="38">
        <f t="shared" si="201"/>
        <v>38.533333333333331</v>
      </c>
      <c r="I578" s="38">
        <f t="shared" si="202"/>
        <v>-121.78333333333333</v>
      </c>
      <c r="J578" s="38">
        <v>18.399999999999999</v>
      </c>
      <c r="N578" s="38">
        <v>483</v>
      </c>
      <c r="P578" s="57" t="s">
        <v>181</v>
      </c>
      <c r="Q578" s="57"/>
      <c r="R578" s="57">
        <v>36514</v>
      </c>
      <c r="S578" s="57" t="s">
        <v>1660</v>
      </c>
      <c r="T578" s="57" t="s">
        <v>1682</v>
      </c>
      <c r="V578" s="38">
        <v>36</v>
      </c>
      <c r="W578" s="38">
        <v>46</v>
      </c>
      <c r="X578" s="38" t="s">
        <v>175</v>
      </c>
      <c r="AB578" s="38" t="s">
        <v>1566</v>
      </c>
      <c r="AC578" s="38" t="s">
        <v>1817</v>
      </c>
      <c r="AD578" s="153" t="str">
        <f t="shared" si="176"/>
        <v>Common_Vetch</v>
      </c>
      <c r="AE578" s="38" t="s">
        <v>1635</v>
      </c>
      <c r="AG578" s="38" t="s">
        <v>549</v>
      </c>
      <c r="AH578" s="38" t="s">
        <v>549</v>
      </c>
      <c r="AI578" s="38" t="s">
        <v>230</v>
      </c>
      <c r="AM578" s="38" t="s">
        <v>443</v>
      </c>
      <c r="AN578" s="38" t="s">
        <v>550</v>
      </c>
      <c r="AO578" s="38" t="s">
        <v>618</v>
      </c>
      <c r="AP578" s="38" t="s">
        <v>154</v>
      </c>
      <c r="AQ578" s="38">
        <v>4</v>
      </c>
      <c r="AR578" s="38">
        <v>4</v>
      </c>
      <c r="AS578" s="38" t="s">
        <v>404</v>
      </c>
      <c r="AW578" s="64"/>
      <c r="CR578" s="38">
        <v>3.3999999999999998E-3</v>
      </c>
      <c r="CS578" s="38">
        <v>5.5E-2</v>
      </c>
      <c r="CT578" s="38" t="s">
        <v>554</v>
      </c>
      <c r="CX578" s="38">
        <f>0.32/3*100</f>
        <v>10.666666666666668</v>
      </c>
      <c r="CY578" s="38">
        <f>0.02/3*100</f>
        <v>0.66666666666666674</v>
      </c>
      <c r="CZ578" s="38" t="s">
        <v>553</v>
      </c>
      <c r="DG578" s="38">
        <v>0.1182</v>
      </c>
      <c r="DH578" s="38">
        <v>0.12089999999999999</v>
      </c>
      <c r="DI578" s="38" t="s">
        <v>552</v>
      </c>
      <c r="DS578" s="12"/>
      <c r="DU578" s="15"/>
      <c r="FA578" s="38" t="s">
        <v>855</v>
      </c>
      <c r="FC578" s="38">
        <v>30</v>
      </c>
    </row>
    <row r="579" spans="1:159" s="38" customFormat="1" x14ac:dyDescent="0.25">
      <c r="A579" s="38">
        <v>30</v>
      </c>
      <c r="B579" s="38" t="s">
        <v>545</v>
      </c>
      <c r="C579" s="38" t="s">
        <v>546</v>
      </c>
      <c r="D579" s="38">
        <v>2002</v>
      </c>
      <c r="E579" s="38">
        <v>1999</v>
      </c>
      <c r="F579" s="38" t="s">
        <v>547</v>
      </c>
      <c r="G579" s="38" t="s">
        <v>548</v>
      </c>
      <c r="H579" s="38">
        <f t="shared" si="201"/>
        <v>38.533333333333331</v>
      </c>
      <c r="I579" s="38">
        <f t="shared" si="202"/>
        <v>-121.78333333333333</v>
      </c>
      <c r="J579" s="38">
        <v>18.399999999999999</v>
      </c>
      <c r="N579" s="38">
        <v>483</v>
      </c>
      <c r="P579" s="57" t="s">
        <v>181</v>
      </c>
      <c r="Q579" s="57"/>
      <c r="R579" s="57">
        <v>36514</v>
      </c>
      <c r="S579" s="57" t="s">
        <v>1660</v>
      </c>
      <c r="T579" s="57" t="s">
        <v>1682</v>
      </c>
      <c r="V579" s="38">
        <v>36</v>
      </c>
      <c r="W579" s="38">
        <v>46</v>
      </c>
      <c r="X579" s="38" t="s">
        <v>175</v>
      </c>
      <c r="AB579" s="38" t="s">
        <v>1566</v>
      </c>
      <c r="AC579" s="38" t="s">
        <v>1817</v>
      </c>
      <c r="AD579" s="153" t="str">
        <f t="shared" ref="AD579:AD642" si="203">IF(OR(AC579="*Rye",AC579="Rye*",AC579="Downy_brome"),"Rye",IF(OR(AC579="*Oat",AC579="Oat*",AC579="Trudan_8",AC579="*Wheat",AC579="Wheat*",AC579="Barley*",AC579="Hemp",AC579="Hemp",AC579="Triticale*",AC579="Grass",AC579="Millet"),"Grass",IF(OR(AC579="*clover",AC579="clover*",AC579="Vetch*",AC579="Vetch*",AC579="Alfalfa",AC579="Soybean",AC579="*Lentil",AC579="Lentil*",AC579="*Pea",AC579="Pea*",AC579="Lupine"),"Legume",AC579)))</f>
        <v>Common_Vetch</v>
      </c>
      <c r="AE579" s="38" t="s">
        <v>1635</v>
      </c>
      <c r="AG579" s="38" t="s">
        <v>549</v>
      </c>
      <c r="AH579" s="38" t="s">
        <v>549</v>
      </c>
      <c r="AI579" s="38" t="s">
        <v>230</v>
      </c>
      <c r="AM579" s="38" t="s">
        <v>443</v>
      </c>
      <c r="AN579" s="38" t="s">
        <v>551</v>
      </c>
      <c r="AO579" s="38" t="s">
        <v>618</v>
      </c>
      <c r="AP579" s="38" t="s">
        <v>154</v>
      </c>
      <c r="AQ579" s="38">
        <v>4</v>
      </c>
      <c r="AR579" s="38">
        <v>4</v>
      </c>
      <c r="AS579" s="38" t="s">
        <v>404</v>
      </c>
      <c r="AW579" s="64"/>
      <c r="CR579" s="38">
        <v>3.3999999999999998E-3</v>
      </c>
      <c r="CS579" s="38">
        <v>6.6000000000000003E-2</v>
      </c>
      <c r="CT579" s="38" t="s">
        <v>554</v>
      </c>
      <c r="CX579" s="38">
        <f>0.32/3*100</f>
        <v>10.666666666666668</v>
      </c>
      <c r="CY579" s="38">
        <f>0.13/3*100</f>
        <v>4.3333333333333339</v>
      </c>
      <c r="CZ579" s="38" t="s">
        <v>553</v>
      </c>
      <c r="DG579" s="38">
        <v>0.1182</v>
      </c>
      <c r="DH579" s="38">
        <v>0.12089999999999999</v>
      </c>
      <c r="DI579" s="38" t="s">
        <v>552</v>
      </c>
      <c r="DS579" s="12"/>
      <c r="DU579" s="15"/>
      <c r="FA579" s="38" t="s">
        <v>855</v>
      </c>
      <c r="FC579" s="38">
        <v>30</v>
      </c>
    </row>
    <row r="580" spans="1:159" s="38" customFormat="1" x14ac:dyDescent="0.25">
      <c r="A580" s="38">
        <v>30</v>
      </c>
      <c r="B580" s="38" t="s">
        <v>545</v>
      </c>
      <c r="C580" s="38" t="s">
        <v>546</v>
      </c>
      <c r="D580" s="38">
        <v>2002</v>
      </c>
      <c r="E580" s="38">
        <v>2000</v>
      </c>
      <c r="F580" s="38" t="s">
        <v>547</v>
      </c>
      <c r="G580" s="38" t="s">
        <v>548</v>
      </c>
      <c r="H580" s="38">
        <f t="shared" si="201"/>
        <v>38.533333333333331</v>
      </c>
      <c r="I580" s="38">
        <f t="shared" si="202"/>
        <v>-121.78333333333333</v>
      </c>
      <c r="J580" s="38">
        <v>18.399999999999999</v>
      </c>
      <c r="N580" s="38">
        <v>483</v>
      </c>
      <c r="P580" s="57" t="s">
        <v>182</v>
      </c>
      <c r="Q580" s="57"/>
      <c r="R580" s="57">
        <v>36535</v>
      </c>
      <c r="S580" s="57" t="s">
        <v>1660</v>
      </c>
      <c r="T580" s="57" t="s">
        <v>1682</v>
      </c>
      <c r="V580" s="38">
        <v>36</v>
      </c>
      <c r="W580" s="38">
        <v>46</v>
      </c>
      <c r="X580" s="38" t="s">
        <v>175</v>
      </c>
      <c r="AB580" s="38" t="s">
        <v>1566</v>
      </c>
      <c r="AC580" s="38" t="s">
        <v>1817</v>
      </c>
      <c r="AD580" s="153" t="str">
        <f t="shared" si="203"/>
        <v>Common_Vetch</v>
      </c>
      <c r="AE580" s="38" t="s">
        <v>1635</v>
      </c>
      <c r="AG580" s="38" t="s">
        <v>549</v>
      </c>
      <c r="AH580" s="38" t="s">
        <v>549</v>
      </c>
      <c r="AI580" s="38" t="s">
        <v>230</v>
      </c>
      <c r="AM580" s="38" t="s">
        <v>443</v>
      </c>
      <c r="AN580" s="38" t="s">
        <v>550</v>
      </c>
      <c r="AO580" s="38" t="s">
        <v>618</v>
      </c>
      <c r="AP580" s="38" t="s">
        <v>154</v>
      </c>
      <c r="AQ580" s="38">
        <v>4</v>
      </c>
      <c r="AR580" s="38">
        <v>4</v>
      </c>
      <c r="AS580" s="38" t="s">
        <v>404</v>
      </c>
      <c r="AW580" s="64"/>
      <c r="CR580" s="38">
        <v>3.3E-3</v>
      </c>
      <c r="CS580" s="38">
        <v>5.3999999999999999E-2</v>
      </c>
      <c r="CT580" s="38" t="s">
        <v>554</v>
      </c>
      <c r="CX580" s="38">
        <f>0.15/7.1*100</f>
        <v>2.112676056338028</v>
      </c>
      <c r="CY580" s="38">
        <f>0.18/7.1*100</f>
        <v>2.535211267605634</v>
      </c>
      <c r="CZ580" s="38" t="s">
        <v>553</v>
      </c>
      <c r="DG580" s="38">
        <v>0.11169999999999999</v>
      </c>
      <c r="DH580" s="38">
        <v>0.1163</v>
      </c>
      <c r="DI580" s="38" t="s">
        <v>552</v>
      </c>
      <c r="DS580" s="12"/>
      <c r="DU580" s="15"/>
      <c r="FA580" s="38" t="s">
        <v>855</v>
      </c>
      <c r="FC580" s="38">
        <v>30</v>
      </c>
    </row>
    <row r="581" spans="1:159" s="38" customFormat="1" x14ac:dyDescent="0.25">
      <c r="A581" s="38">
        <v>30</v>
      </c>
      <c r="B581" s="38" t="s">
        <v>545</v>
      </c>
      <c r="C581" s="38" t="s">
        <v>546</v>
      </c>
      <c r="D581" s="38">
        <v>2002</v>
      </c>
      <c r="E581" s="38">
        <v>2000</v>
      </c>
      <c r="F581" s="38" t="s">
        <v>547</v>
      </c>
      <c r="G581" s="38" t="s">
        <v>548</v>
      </c>
      <c r="H581" s="38">
        <f t="shared" si="201"/>
        <v>38.533333333333331</v>
      </c>
      <c r="I581" s="38">
        <f t="shared" si="202"/>
        <v>-121.78333333333333</v>
      </c>
      <c r="J581" s="38">
        <v>18.399999999999999</v>
      </c>
      <c r="N581" s="38">
        <v>483</v>
      </c>
      <c r="P581" s="57" t="s">
        <v>182</v>
      </c>
      <c r="Q581" s="57"/>
      <c r="R581" s="57">
        <v>36535</v>
      </c>
      <c r="S581" s="57" t="s">
        <v>1660</v>
      </c>
      <c r="T581" s="57" t="s">
        <v>1682</v>
      </c>
      <c r="V581" s="38">
        <v>36</v>
      </c>
      <c r="W581" s="38">
        <v>46</v>
      </c>
      <c r="X581" s="38" t="s">
        <v>175</v>
      </c>
      <c r="AB581" s="38" t="s">
        <v>1566</v>
      </c>
      <c r="AC581" s="38" t="s">
        <v>1817</v>
      </c>
      <c r="AD581" s="153" t="str">
        <f t="shared" si="203"/>
        <v>Common_Vetch</v>
      </c>
      <c r="AE581" s="38" t="s">
        <v>1635</v>
      </c>
      <c r="AG581" s="38" t="s">
        <v>549</v>
      </c>
      <c r="AH581" s="38" t="s">
        <v>549</v>
      </c>
      <c r="AI581" s="38" t="s">
        <v>230</v>
      </c>
      <c r="AM581" s="38" t="s">
        <v>443</v>
      </c>
      <c r="AN581" s="38" t="s">
        <v>551</v>
      </c>
      <c r="AO581" s="38" t="s">
        <v>618</v>
      </c>
      <c r="AP581" s="38" t="s">
        <v>154</v>
      </c>
      <c r="AQ581" s="38">
        <v>4</v>
      </c>
      <c r="AR581" s="38">
        <v>4</v>
      </c>
      <c r="AS581" s="38" t="s">
        <v>404</v>
      </c>
      <c r="AW581" s="64"/>
      <c r="CR581" s="38">
        <v>3.3E-3</v>
      </c>
      <c r="CS581" s="38">
        <v>6.6000000000000003E-2</v>
      </c>
      <c r="CT581" s="38" t="s">
        <v>554</v>
      </c>
      <c r="CX581" s="38">
        <f>0.15/7.1*100</f>
        <v>2.112676056338028</v>
      </c>
      <c r="CY581" s="38">
        <f>0.08/7.1*100</f>
        <v>1.1267605633802817</v>
      </c>
      <c r="CZ581" s="38" t="s">
        <v>553</v>
      </c>
      <c r="DG581" s="38">
        <v>0.11169999999999999</v>
      </c>
      <c r="DH581" s="38">
        <v>0.1163</v>
      </c>
      <c r="DI581" s="38" t="s">
        <v>552</v>
      </c>
      <c r="DS581" s="12"/>
      <c r="DU581" s="15"/>
      <c r="FA581" s="38" t="s">
        <v>855</v>
      </c>
      <c r="FC581" s="38">
        <v>30</v>
      </c>
    </row>
    <row r="582" spans="1:159" s="38" customFormat="1" x14ac:dyDescent="0.25">
      <c r="A582" s="38">
        <v>30</v>
      </c>
      <c r="B582" s="38" t="s">
        <v>545</v>
      </c>
      <c r="C582" s="38" t="s">
        <v>546</v>
      </c>
      <c r="D582" s="38">
        <v>2002</v>
      </c>
      <c r="E582" s="38">
        <v>2000</v>
      </c>
      <c r="F582" s="38" t="s">
        <v>547</v>
      </c>
      <c r="G582" s="38" t="s">
        <v>548</v>
      </c>
      <c r="H582" s="38">
        <f t="shared" si="201"/>
        <v>38.533333333333331</v>
      </c>
      <c r="I582" s="38">
        <f t="shared" si="202"/>
        <v>-121.78333333333333</v>
      </c>
      <c r="J582" s="38">
        <v>18.399999999999999</v>
      </c>
      <c r="N582" s="38">
        <v>483</v>
      </c>
      <c r="P582" s="57" t="s">
        <v>182</v>
      </c>
      <c r="Q582" s="57"/>
      <c r="R582" s="57">
        <v>36541</v>
      </c>
      <c r="S582" s="57" t="s">
        <v>1660</v>
      </c>
      <c r="T582" s="57" t="s">
        <v>1682</v>
      </c>
      <c r="V582" s="38">
        <v>36</v>
      </c>
      <c r="W582" s="38">
        <v>46</v>
      </c>
      <c r="X582" s="38" t="s">
        <v>175</v>
      </c>
      <c r="AB582" s="38" t="s">
        <v>1566</v>
      </c>
      <c r="AC582" s="38" t="s">
        <v>1817</v>
      </c>
      <c r="AD582" s="153" t="str">
        <f t="shared" si="203"/>
        <v>Common_Vetch</v>
      </c>
      <c r="AE582" s="38" t="s">
        <v>1635</v>
      </c>
      <c r="AG582" s="38" t="s">
        <v>549</v>
      </c>
      <c r="AH582" s="38" t="s">
        <v>549</v>
      </c>
      <c r="AI582" s="38" t="s">
        <v>230</v>
      </c>
      <c r="AM582" s="38" t="s">
        <v>443</v>
      </c>
      <c r="AN582" s="38" t="s">
        <v>550</v>
      </c>
      <c r="AO582" s="38" t="s">
        <v>618</v>
      </c>
      <c r="AP582" s="38" t="s">
        <v>154</v>
      </c>
      <c r="AQ582" s="38">
        <v>4</v>
      </c>
      <c r="AR582" s="38">
        <v>4</v>
      </c>
      <c r="AS582" s="38" t="s">
        <v>404</v>
      </c>
      <c r="AW582" s="64"/>
      <c r="CR582" s="38">
        <v>3.0999999999999999E-3</v>
      </c>
      <c r="CS582" s="38">
        <v>5.3999999999999999E-2</v>
      </c>
      <c r="CT582" s="38" t="s">
        <v>554</v>
      </c>
      <c r="CX582" s="38">
        <f>18.89/101.7*100</f>
        <v>18.574237954768929</v>
      </c>
      <c r="CY582" s="38">
        <f>4.51/101.7*100</f>
        <v>4.4346116027531952</v>
      </c>
      <c r="CZ582" s="38" t="s">
        <v>553</v>
      </c>
      <c r="DG582" s="38">
        <v>0.1225</v>
      </c>
      <c r="DH582" s="38">
        <v>0.1225</v>
      </c>
      <c r="DI582" s="38" t="s">
        <v>552</v>
      </c>
      <c r="DS582" s="12"/>
      <c r="DU582" s="15"/>
      <c r="FA582" s="38" t="s">
        <v>855</v>
      </c>
      <c r="FC582" s="38">
        <v>30</v>
      </c>
    </row>
    <row r="583" spans="1:159" s="38" customFormat="1" x14ac:dyDescent="0.25">
      <c r="A583" s="38">
        <v>30</v>
      </c>
      <c r="B583" s="38" t="s">
        <v>545</v>
      </c>
      <c r="C583" s="38" t="s">
        <v>546</v>
      </c>
      <c r="D583" s="38">
        <v>2002</v>
      </c>
      <c r="E583" s="38">
        <v>2000</v>
      </c>
      <c r="F583" s="38" t="s">
        <v>547</v>
      </c>
      <c r="G583" s="38" t="s">
        <v>548</v>
      </c>
      <c r="H583" s="38">
        <f t="shared" si="201"/>
        <v>38.533333333333331</v>
      </c>
      <c r="I583" s="38">
        <f t="shared" si="202"/>
        <v>-121.78333333333333</v>
      </c>
      <c r="J583" s="38">
        <v>18.399999999999999</v>
      </c>
      <c r="N583" s="38">
        <v>483</v>
      </c>
      <c r="P583" s="57" t="s">
        <v>182</v>
      </c>
      <c r="Q583" s="57"/>
      <c r="R583" s="57">
        <v>36541</v>
      </c>
      <c r="S583" s="57" t="s">
        <v>1660</v>
      </c>
      <c r="T583" s="57" t="s">
        <v>1682</v>
      </c>
      <c r="V583" s="38">
        <v>36</v>
      </c>
      <c r="W583" s="38">
        <v>46</v>
      </c>
      <c r="X583" s="38" t="s">
        <v>175</v>
      </c>
      <c r="AB583" s="38" t="s">
        <v>1566</v>
      </c>
      <c r="AC583" s="38" t="s">
        <v>1817</v>
      </c>
      <c r="AD583" s="153" t="str">
        <f t="shared" si="203"/>
        <v>Common_Vetch</v>
      </c>
      <c r="AE583" s="38" t="s">
        <v>1635</v>
      </c>
      <c r="AG583" s="38" t="s">
        <v>549</v>
      </c>
      <c r="AH583" s="38" t="s">
        <v>549</v>
      </c>
      <c r="AI583" s="38" t="s">
        <v>230</v>
      </c>
      <c r="AM583" s="38" t="s">
        <v>443</v>
      </c>
      <c r="AN583" s="38" t="s">
        <v>551</v>
      </c>
      <c r="AO583" s="38" t="s">
        <v>618</v>
      </c>
      <c r="AP583" s="38" t="s">
        <v>154</v>
      </c>
      <c r="AQ583" s="38">
        <v>4</v>
      </c>
      <c r="AR583" s="38">
        <v>4</v>
      </c>
      <c r="AS583" s="38" t="s">
        <v>404</v>
      </c>
      <c r="AW583" s="64"/>
      <c r="CR583" s="38">
        <v>3.0999999999999999E-3</v>
      </c>
      <c r="CS583" s="38">
        <v>0.06</v>
      </c>
      <c r="CT583" s="38" t="s">
        <v>554</v>
      </c>
      <c r="CX583" s="38">
        <f>18.89/101.7*100</f>
        <v>18.574237954768929</v>
      </c>
      <c r="CY583" s="38">
        <f>7.51/101.7*100</f>
        <v>7.3844641101278263</v>
      </c>
      <c r="CZ583" s="38" t="s">
        <v>553</v>
      </c>
      <c r="DG583" s="38">
        <v>0.1225</v>
      </c>
      <c r="DH583" s="38">
        <v>0.1225</v>
      </c>
      <c r="DI583" s="38" t="s">
        <v>552</v>
      </c>
      <c r="DS583" s="12"/>
      <c r="DU583" s="15"/>
      <c r="FA583" s="38" t="s">
        <v>855</v>
      </c>
      <c r="FC583" s="38">
        <v>30</v>
      </c>
    </row>
    <row r="584" spans="1:159" s="38" customFormat="1" x14ac:dyDescent="0.25">
      <c r="A584" s="38">
        <v>30</v>
      </c>
      <c r="B584" s="38" t="s">
        <v>545</v>
      </c>
      <c r="C584" s="38" t="s">
        <v>546</v>
      </c>
      <c r="D584" s="38">
        <v>2002</v>
      </c>
      <c r="E584" s="38">
        <v>2000</v>
      </c>
      <c r="F584" s="38" t="s">
        <v>547</v>
      </c>
      <c r="G584" s="38" t="s">
        <v>548</v>
      </c>
      <c r="H584" s="38">
        <f t="shared" si="201"/>
        <v>38.533333333333331</v>
      </c>
      <c r="I584" s="38">
        <f t="shared" si="202"/>
        <v>-121.78333333333333</v>
      </c>
      <c r="J584" s="38">
        <v>18.399999999999999</v>
      </c>
      <c r="N584" s="38">
        <v>483</v>
      </c>
      <c r="P584" s="57" t="s">
        <v>182</v>
      </c>
      <c r="Q584" s="57"/>
      <c r="R584" s="57">
        <v>36549</v>
      </c>
      <c r="S584" s="57" t="s">
        <v>1660</v>
      </c>
      <c r="T584" s="57" t="s">
        <v>1682</v>
      </c>
      <c r="V584" s="38">
        <v>36</v>
      </c>
      <c r="W584" s="38">
        <v>46</v>
      </c>
      <c r="X584" s="38" t="s">
        <v>175</v>
      </c>
      <c r="AB584" s="38" t="s">
        <v>1566</v>
      </c>
      <c r="AC584" s="38" t="s">
        <v>1817</v>
      </c>
      <c r="AD584" s="153" t="str">
        <f t="shared" si="203"/>
        <v>Common_Vetch</v>
      </c>
      <c r="AE584" s="38" t="s">
        <v>1635</v>
      </c>
      <c r="AG584" s="38" t="s">
        <v>549</v>
      </c>
      <c r="AH584" s="38" t="s">
        <v>549</v>
      </c>
      <c r="AI584" s="38" t="s">
        <v>230</v>
      </c>
      <c r="AM584" s="38" t="s">
        <v>443</v>
      </c>
      <c r="AN584" s="38" t="s">
        <v>550</v>
      </c>
      <c r="AO584" s="38" t="s">
        <v>618</v>
      </c>
      <c r="AP584" s="38" t="s">
        <v>154</v>
      </c>
      <c r="AQ584" s="38">
        <v>4</v>
      </c>
      <c r="AR584" s="38">
        <v>4</v>
      </c>
      <c r="AS584" s="38" t="s">
        <v>404</v>
      </c>
      <c r="AW584" s="64"/>
      <c r="CX584" s="38">
        <f>0.29/4.6*100</f>
        <v>6.3043478260869561</v>
      </c>
      <c r="CY584" s="38">
        <f>0.22/4.6*100</f>
        <v>4.7826086956521738</v>
      </c>
      <c r="CZ584" s="38" t="s">
        <v>553</v>
      </c>
      <c r="DG584" s="38">
        <v>0.14960000000000001</v>
      </c>
      <c r="DH584" s="38">
        <v>0.1641</v>
      </c>
      <c r="DI584" s="38" t="s">
        <v>552</v>
      </c>
      <c r="DS584" s="12"/>
      <c r="DU584" s="15"/>
      <c r="FA584" s="38" t="s">
        <v>855</v>
      </c>
      <c r="FC584" s="38">
        <v>30</v>
      </c>
    </row>
    <row r="585" spans="1:159" s="38" customFormat="1" x14ac:dyDescent="0.25">
      <c r="A585" s="38">
        <v>30</v>
      </c>
      <c r="B585" s="38" t="s">
        <v>545</v>
      </c>
      <c r="C585" s="38" t="s">
        <v>546</v>
      </c>
      <c r="D585" s="38">
        <v>2002</v>
      </c>
      <c r="E585" s="38">
        <v>2000</v>
      </c>
      <c r="F585" s="38" t="s">
        <v>547</v>
      </c>
      <c r="G585" s="38" t="s">
        <v>548</v>
      </c>
      <c r="H585" s="38">
        <f t="shared" si="201"/>
        <v>38.533333333333331</v>
      </c>
      <c r="I585" s="38">
        <f t="shared" si="202"/>
        <v>-121.78333333333333</v>
      </c>
      <c r="J585" s="38">
        <v>18.399999999999999</v>
      </c>
      <c r="N585" s="38">
        <v>483</v>
      </c>
      <c r="P585" s="57" t="s">
        <v>182</v>
      </c>
      <c r="Q585" s="57"/>
      <c r="R585" s="57">
        <v>36549</v>
      </c>
      <c r="S585" s="57" t="s">
        <v>1660</v>
      </c>
      <c r="T585" s="57" t="s">
        <v>1682</v>
      </c>
      <c r="V585" s="38">
        <v>36</v>
      </c>
      <c r="W585" s="38">
        <v>46</v>
      </c>
      <c r="X585" s="38" t="s">
        <v>175</v>
      </c>
      <c r="AB585" s="38" t="s">
        <v>1566</v>
      </c>
      <c r="AC585" s="38" t="s">
        <v>1817</v>
      </c>
      <c r="AD585" s="153" t="str">
        <f t="shared" si="203"/>
        <v>Common_Vetch</v>
      </c>
      <c r="AE585" s="38" t="s">
        <v>1635</v>
      </c>
      <c r="AG585" s="38" t="s">
        <v>549</v>
      </c>
      <c r="AH585" s="38" t="s">
        <v>549</v>
      </c>
      <c r="AI585" s="38" t="s">
        <v>230</v>
      </c>
      <c r="AM585" s="38" t="s">
        <v>443</v>
      </c>
      <c r="AN585" s="38" t="s">
        <v>551</v>
      </c>
      <c r="AO585" s="38" t="s">
        <v>618</v>
      </c>
      <c r="AP585" s="38" t="s">
        <v>154</v>
      </c>
      <c r="AQ585" s="38">
        <v>4</v>
      </c>
      <c r="AR585" s="38">
        <v>4</v>
      </c>
      <c r="AS585" s="38" t="s">
        <v>404</v>
      </c>
      <c r="AW585" s="64"/>
      <c r="CX585" s="38">
        <f>0.29/4.6*100</f>
        <v>6.3043478260869561</v>
      </c>
      <c r="CY585" s="38">
        <f>0.23/4.6*100</f>
        <v>5</v>
      </c>
      <c r="CZ585" s="38" t="s">
        <v>553</v>
      </c>
      <c r="DG585" s="38">
        <v>0.14960000000000001</v>
      </c>
      <c r="DH585" s="38">
        <v>0.1542</v>
      </c>
      <c r="DI585" s="38" t="s">
        <v>552</v>
      </c>
      <c r="DS585" s="12"/>
      <c r="DU585" s="15"/>
      <c r="FA585" s="38" t="s">
        <v>855</v>
      </c>
      <c r="FC585" s="38">
        <v>30</v>
      </c>
    </row>
    <row r="586" spans="1:159" s="38" customFormat="1" x14ac:dyDescent="0.25">
      <c r="A586" s="38">
        <v>30</v>
      </c>
      <c r="B586" s="38" t="s">
        <v>545</v>
      </c>
      <c r="C586" s="38" t="s">
        <v>546</v>
      </c>
      <c r="D586" s="38">
        <v>2002</v>
      </c>
      <c r="E586" s="38">
        <v>2000</v>
      </c>
      <c r="F586" s="38" t="s">
        <v>547</v>
      </c>
      <c r="G586" s="38" t="s">
        <v>548</v>
      </c>
      <c r="H586" s="38">
        <f t="shared" si="201"/>
        <v>38.533333333333331</v>
      </c>
      <c r="I586" s="38">
        <f t="shared" si="202"/>
        <v>-121.78333333333333</v>
      </c>
      <c r="J586" s="38">
        <v>18.399999999999999</v>
      </c>
      <c r="N586" s="38">
        <v>483</v>
      </c>
      <c r="P586" s="57" t="s">
        <v>182</v>
      </c>
      <c r="Q586" s="57"/>
      <c r="R586" s="57">
        <v>36562</v>
      </c>
      <c r="S586" s="57" t="s">
        <v>1660</v>
      </c>
      <c r="T586" s="57" t="s">
        <v>1682</v>
      </c>
      <c r="V586" s="38">
        <v>36</v>
      </c>
      <c r="W586" s="38">
        <v>46</v>
      </c>
      <c r="X586" s="38" t="s">
        <v>175</v>
      </c>
      <c r="AB586" s="38" t="s">
        <v>1566</v>
      </c>
      <c r="AC586" s="38" t="s">
        <v>1817</v>
      </c>
      <c r="AD586" s="153" t="str">
        <f t="shared" si="203"/>
        <v>Common_Vetch</v>
      </c>
      <c r="AE586" s="38" t="s">
        <v>1635</v>
      </c>
      <c r="AG586" s="38" t="s">
        <v>549</v>
      </c>
      <c r="AH586" s="38" t="s">
        <v>549</v>
      </c>
      <c r="AI586" s="38" t="s">
        <v>230</v>
      </c>
      <c r="AM586" s="38" t="s">
        <v>443</v>
      </c>
      <c r="AN586" s="38" t="s">
        <v>550</v>
      </c>
      <c r="AO586" s="38" t="s">
        <v>618</v>
      </c>
      <c r="AP586" s="38" t="s">
        <v>154</v>
      </c>
      <c r="AQ586" s="38">
        <v>4</v>
      </c>
      <c r="AR586" s="38">
        <v>4</v>
      </c>
      <c r="AS586" s="38" t="s">
        <v>404</v>
      </c>
      <c r="AW586" s="64"/>
      <c r="CX586" s="38">
        <f>15.83/67.6*100</f>
        <v>23.417159763313609</v>
      </c>
      <c r="CY586" s="38">
        <f>1.64/67.6*100</f>
        <v>2.4260355029585798</v>
      </c>
      <c r="CZ586" s="38" t="s">
        <v>553</v>
      </c>
      <c r="DG586" s="38">
        <v>0.25180000000000002</v>
      </c>
      <c r="DH586" s="38">
        <v>0.2671</v>
      </c>
      <c r="DI586" s="38" t="s">
        <v>552</v>
      </c>
      <c r="DS586" s="12"/>
      <c r="DU586" s="15"/>
      <c r="FA586" s="38" t="s">
        <v>855</v>
      </c>
      <c r="FC586" s="38">
        <v>30</v>
      </c>
    </row>
    <row r="587" spans="1:159" s="38" customFormat="1" x14ac:dyDescent="0.25">
      <c r="A587" s="38">
        <v>30</v>
      </c>
      <c r="B587" s="38" t="s">
        <v>545</v>
      </c>
      <c r="C587" s="38" t="s">
        <v>546</v>
      </c>
      <c r="D587" s="38">
        <v>2002</v>
      </c>
      <c r="E587" s="38">
        <v>2000</v>
      </c>
      <c r="F587" s="38" t="s">
        <v>547</v>
      </c>
      <c r="G587" s="38" t="s">
        <v>548</v>
      </c>
      <c r="H587" s="38">
        <f t="shared" si="201"/>
        <v>38.533333333333331</v>
      </c>
      <c r="I587" s="38">
        <f t="shared" si="202"/>
        <v>-121.78333333333333</v>
      </c>
      <c r="J587" s="38">
        <v>18.399999999999999</v>
      </c>
      <c r="N587" s="38">
        <v>483</v>
      </c>
      <c r="P587" s="57" t="s">
        <v>182</v>
      </c>
      <c r="Q587" s="57"/>
      <c r="R587" s="57">
        <v>36562</v>
      </c>
      <c r="S587" s="57" t="s">
        <v>1660</v>
      </c>
      <c r="T587" s="57" t="s">
        <v>1682</v>
      </c>
      <c r="V587" s="38">
        <v>36</v>
      </c>
      <c r="W587" s="38">
        <v>46</v>
      </c>
      <c r="X587" s="38" t="s">
        <v>175</v>
      </c>
      <c r="AB587" s="38" t="s">
        <v>1566</v>
      </c>
      <c r="AC587" s="38" t="s">
        <v>1817</v>
      </c>
      <c r="AD587" s="153" t="str">
        <f t="shared" si="203"/>
        <v>Common_Vetch</v>
      </c>
      <c r="AE587" s="38" t="s">
        <v>1635</v>
      </c>
      <c r="AG587" s="38" t="s">
        <v>549</v>
      </c>
      <c r="AH587" s="38" t="s">
        <v>549</v>
      </c>
      <c r="AI587" s="38" t="s">
        <v>230</v>
      </c>
      <c r="AM587" s="38" t="s">
        <v>443</v>
      </c>
      <c r="AN587" s="38" t="s">
        <v>551</v>
      </c>
      <c r="AO587" s="38" t="s">
        <v>618</v>
      </c>
      <c r="AP587" s="38" t="s">
        <v>154</v>
      </c>
      <c r="AQ587" s="38">
        <v>4</v>
      </c>
      <c r="AR587" s="38">
        <v>4</v>
      </c>
      <c r="AS587" s="38" t="s">
        <v>404</v>
      </c>
      <c r="AW587" s="64"/>
      <c r="CX587" s="38">
        <f>15.83/67.6*100</f>
        <v>23.417159763313609</v>
      </c>
      <c r="CY587" s="38">
        <f>2.32/67.6*100</f>
        <v>3.4319526627218933</v>
      </c>
      <c r="CZ587" s="38" t="s">
        <v>553</v>
      </c>
      <c r="DG587" s="38">
        <v>0.25180000000000002</v>
      </c>
      <c r="DH587" s="38">
        <v>0.2671</v>
      </c>
      <c r="DI587" s="38" t="s">
        <v>552</v>
      </c>
      <c r="DS587" s="12"/>
      <c r="DU587" s="15"/>
      <c r="FA587" s="38" t="s">
        <v>855</v>
      </c>
      <c r="FC587" s="38">
        <v>30</v>
      </c>
    </row>
    <row r="588" spans="1:159" s="38" customFormat="1" x14ac:dyDescent="0.25">
      <c r="A588" s="38">
        <v>30</v>
      </c>
      <c r="B588" s="38" t="s">
        <v>545</v>
      </c>
      <c r="C588" s="38" t="s">
        <v>546</v>
      </c>
      <c r="D588" s="38">
        <v>2002</v>
      </c>
      <c r="E588" s="38">
        <v>2000</v>
      </c>
      <c r="F588" s="38" t="s">
        <v>547</v>
      </c>
      <c r="G588" s="38" t="s">
        <v>548</v>
      </c>
      <c r="H588" s="38">
        <f t="shared" si="201"/>
        <v>38.533333333333331</v>
      </c>
      <c r="I588" s="38">
        <f t="shared" si="202"/>
        <v>-121.78333333333333</v>
      </c>
      <c r="J588" s="38">
        <v>18.399999999999999</v>
      </c>
      <c r="N588" s="38">
        <v>483</v>
      </c>
      <c r="P588" s="57" t="s">
        <v>182</v>
      </c>
      <c r="Q588" s="57"/>
      <c r="R588" s="57">
        <v>36566</v>
      </c>
      <c r="S588" s="57" t="s">
        <v>1660</v>
      </c>
      <c r="T588" s="57" t="s">
        <v>1682</v>
      </c>
      <c r="V588" s="38">
        <v>36</v>
      </c>
      <c r="W588" s="38">
        <v>46</v>
      </c>
      <c r="X588" s="38" t="s">
        <v>175</v>
      </c>
      <c r="AB588" s="38" t="s">
        <v>1566</v>
      </c>
      <c r="AC588" s="38" t="s">
        <v>1817</v>
      </c>
      <c r="AD588" s="153" t="str">
        <f t="shared" si="203"/>
        <v>Common_Vetch</v>
      </c>
      <c r="AE588" s="38" t="s">
        <v>1635</v>
      </c>
      <c r="AG588" s="38" t="s">
        <v>549</v>
      </c>
      <c r="AH588" s="38" t="s">
        <v>549</v>
      </c>
      <c r="AI588" s="38" t="s">
        <v>230</v>
      </c>
      <c r="AM588" s="38" t="s">
        <v>443</v>
      </c>
      <c r="AN588" s="38" t="s">
        <v>550</v>
      </c>
      <c r="AO588" s="38" t="s">
        <v>618</v>
      </c>
      <c r="AP588" s="38" t="s">
        <v>154</v>
      </c>
      <c r="AQ588" s="38">
        <v>4</v>
      </c>
      <c r="AR588" s="38">
        <v>4</v>
      </c>
      <c r="AS588" s="38" t="s">
        <v>404</v>
      </c>
      <c r="AW588" s="64"/>
      <c r="CX588" s="38">
        <f>6.93/14.3*100</f>
        <v>48.461538461538453</v>
      </c>
      <c r="CY588" s="38">
        <f>0.98/14.3*100</f>
        <v>6.8531468531468516</v>
      </c>
      <c r="CZ588" s="38" t="s">
        <v>553</v>
      </c>
      <c r="DG588" s="38">
        <v>0.25900000000000001</v>
      </c>
      <c r="DH588" s="38">
        <v>0.27429999999999999</v>
      </c>
      <c r="DI588" s="38" t="s">
        <v>552</v>
      </c>
      <c r="DS588" s="12"/>
      <c r="DU588" s="15"/>
      <c r="FA588" s="38" t="s">
        <v>855</v>
      </c>
      <c r="FC588" s="38">
        <v>30</v>
      </c>
    </row>
    <row r="589" spans="1:159" s="38" customFormat="1" x14ac:dyDescent="0.25">
      <c r="A589" s="38">
        <v>30</v>
      </c>
      <c r="B589" s="38" t="s">
        <v>545</v>
      </c>
      <c r="C589" s="38" t="s">
        <v>546</v>
      </c>
      <c r="D589" s="38">
        <v>2002</v>
      </c>
      <c r="E589" s="38">
        <v>2000</v>
      </c>
      <c r="F589" s="38" t="s">
        <v>547</v>
      </c>
      <c r="G589" s="38" t="s">
        <v>548</v>
      </c>
      <c r="H589" s="38">
        <f t="shared" si="201"/>
        <v>38.533333333333331</v>
      </c>
      <c r="I589" s="38">
        <f t="shared" si="202"/>
        <v>-121.78333333333333</v>
      </c>
      <c r="J589" s="38">
        <v>18.399999999999999</v>
      </c>
      <c r="N589" s="38">
        <v>483</v>
      </c>
      <c r="P589" s="57" t="s">
        <v>182</v>
      </c>
      <c r="Q589" s="57"/>
      <c r="R589" s="57">
        <v>36566</v>
      </c>
      <c r="S589" s="57" t="s">
        <v>1660</v>
      </c>
      <c r="T589" s="57" t="s">
        <v>1682</v>
      </c>
      <c r="V589" s="38">
        <v>36</v>
      </c>
      <c r="W589" s="38">
        <v>46</v>
      </c>
      <c r="X589" s="38" t="s">
        <v>175</v>
      </c>
      <c r="AB589" s="38" t="s">
        <v>1566</v>
      </c>
      <c r="AC589" s="38" t="s">
        <v>1817</v>
      </c>
      <c r="AD589" s="153" t="str">
        <f t="shared" si="203"/>
        <v>Common_Vetch</v>
      </c>
      <c r="AE589" s="38" t="s">
        <v>1635</v>
      </c>
      <c r="AG589" s="38" t="s">
        <v>549</v>
      </c>
      <c r="AH589" s="38" t="s">
        <v>549</v>
      </c>
      <c r="AI589" s="38" t="s">
        <v>230</v>
      </c>
      <c r="AM589" s="38" t="s">
        <v>443</v>
      </c>
      <c r="AN589" s="38" t="s">
        <v>551</v>
      </c>
      <c r="AO589" s="38" t="s">
        <v>618</v>
      </c>
      <c r="AP589" s="38" t="s">
        <v>154</v>
      </c>
      <c r="AQ589" s="38">
        <v>4</v>
      </c>
      <c r="AR589" s="38">
        <v>4</v>
      </c>
      <c r="AS589" s="38" t="s">
        <v>404</v>
      </c>
      <c r="AW589" s="64"/>
      <c r="CX589" s="38">
        <f>6.93/14.3*100</f>
        <v>48.461538461538453</v>
      </c>
      <c r="CY589" s="38">
        <f>0.26/14.3*100</f>
        <v>1.8181818181818181</v>
      </c>
      <c r="CZ589" s="38" t="s">
        <v>553</v>
      </c>
      <c r="DG589" s="38">
        <v>0.25900000000000001</v>
      </c>
      <c r="DH589" s="38">
        <v>0.2797</v>
      </c>
      <c r="DI589" s="38" t="s">
        <v>552</v>
      </c>
      <c r="DS589" s="12"/>
      <c r="DU589" s="15"/>
      <c r="FA589" s="38" t="s">
        <v>855</v>
      </c>
      <c r="FC589" s="38">
        <v>30</v>
      </c>
    </row>
    <row r="590" spans="1:159" s="38" customFormat="1" x14ac:dyDescent="0.25">
      <c r="A590" s="38">
        <v>30</v>
      </c>
      <c r="B590" s="38" t="s">
        <v>545</v>
      </c>
      <c r="C590" s="38" t="s">
        <v>546</v>
      </c>
      <c r="D590" s="38">
        <v>2002</v>
      </c>
      <c r="E590" s="38">
        <v>2000</v>
      </c>
      <c r="F590" s="38" t="s">
        <v>547</v>
      </c>
      <c r="G590" s="38" t="s">
        <v>548</v>
      </c>
      <c r="H590" s="38">
        <f t="shared" si="201"/>
        <v>38.533333333333331</v>
      </c>
      <c r="I590" s="38">
        <f t="shared" si="202"/>
        <v>-121.78333333333333</v>
      </c>
      <c r="J590" s="38">
        <v>18.399999999999999</v>
      </c>
      <c r="N590" s="38">
        <v>483</v>
      </c>
      <c r="P590" s="57" t="s">
        <v>182</v>
      </c>
      <c r="Q590" s="57"/>
      <c r="R590" s="57">
        <v>36572</v>
      </c>
      <c r="S590" s="57" t="s">
        <v>1660</v>
      </c>
      <c r="T590" s="57" t="s">
        <v>1682</v>
      </c>
      <c r="V590" s="38">
        <v>36</v>
      </c>
      <c r="W590" s="38">
        <v>46</v>
      </c>
      <c r="X590" s="38" t="s">
        <v>175</v>
      </c>
      <c r="AB590" s="38" t="s">
        <v>1566</v>
      </c>
      <c r="AC590" s="38" t="s">
        <v>1817</v>
      </c>
      <c r="AD590" s="153" t="str">
        <f t="shared" si="203"/>
        <v>Common_Vetch</v>
      </c>
      <c r="AE590" s="38" t="s">
        <v>1635</v>
      </c>
      <c r="AG590" s="38" t="s">
        <v>549</v>
      </c>
      <c r="AH590" s="38" t="s">
        <v>549</v>
      </c>
      <c r="AI590" s="38" t="s">
        <v>230</v>
      </c>
      <c r="AM590" s="38" t="s">
        <v>443</v>
      </c>
      <c r="AN590" s="38" t="s">
        <v>550</v>
      </c>
      <c r="AO590" s="38" t="s">
        <v>618</v>
      </c>
      <c r="AP590" s="38" t="s">
        <v>154</v>
      </c>
      <c r="AQ590" s="38">
        <v>4</v>
      </c>
      <c r="AR590" s="38">
        <v>4</v>
      </c>
      <c r="AS590" s="38" t="s">
        <v>404</v>
      </c>
      <c r="AW590" s="64"/>
      <c r="CX590" s="38">
        <f>1.05/5.9*100</f>
        <v>17.796610169491526</v>
      </c>
      <c r="CY590" s="38">
        <f>0.19/5.9*100</f>
        <v>3.2203389830508473</v>
      </c>
      <c r="CZ590" s="38" t="s">
        <v>553</v>
      </c>
      <c r="DG590" s="38">
        <v>0.26429999999999998</v>
      </c>
      <c r="DH590" s="38">
        <v>0.28239999999999998</v>
      </c>
      <c r="DI590" s="38" t="s">
        <v>552</v>
      </c>
      <c r="DS590" s="12"/>
      <c r="DU590" s="15"/>
      <c r="FA590" s="38" t="s">
        <v>855</v>
      </c>
      <c r="FC590" s="38">
        <v>30</v>
      </c>
    </row>
    <row r="591" spans="1:159" s="38" customFormat="1" x14ac:dyDescent="0.25">
      <c r="A591" s="38">
        <v>30</v>
      </c>
      <c r="B591" s="38" t="s">
        <v>545</v>
      </c>
      <c r="C591" s="38" t="s">
        <v>546</v>
      </c>
      <c r="D591" s="38">
        <v>2002</v>
      </c>
      <c r="E591" s="38">
        <v>2000</v>
      </c>
      <c r="F591" s="38" t="s">
        <v>547</v>
      </c>
      <c r="G591" s="38" t="s">
        <v>548</v>
      </c>
      <c r="H591" s="38">
        <f t="shared" si="201"/>
        <v>38.533333333333331</v>
      </c>
      <c r="I591" s="38">
        <f t="shared" si="202"/>
        <v>-121.78333333333333</v>
      </c>
      <c r="J591" s="38">
        <v>18.399999999999999</v>
      </c>
      <c r="N591" s="38">
        <v>483</v>
      </c>
      <c r="P591" s="57" t="s">
        <v>182</v>
      </c>
      <c r="Q591" s="57"/>
      <c r="R591" s="57">
        <v>36572</v>
      </c>
      <c r="S591" s="57" t="s">
        <v>1660</v>
      </c>
      <c r="T591" s="57" t="s">
        <v>1682</v>
      </c>
      <c r="V591" s="38">
        <v>36</v>
      </c>
      <c r="W591" s="38">
        <v>46</v>
      </c>
      <c r="X591" s="38" t="s">
        <v>175</v>
      </c>
      <c r="AB591" s="38" t="s">
        <v>1566</v>
      </c>
      <c r="AC591" s="38" t="s">
        <v>1817</v>
      </c>
      <c r="AD591" s="153" t="str">
        <f t="shared" si="203"/>
        <v>Common_Vetch</v>
      </c>
      <c r="AE591" s="38" t="s">
        <v>1635</v>
      </c>
      <c r="AG591" s="38" t="s">
        <v>549</v>
      </c>
      <c r="AH591" s="38" t="s">
        <v>549</v>
      </c>
      <c r="AI591" s="38" t="s">
        <v>230</v>
      </c>
      <c r="AM591" s="38" t="s">
        <v>443</v>
      </c>
      <c r="AN591" s="38" t="s">
        <v>551</v>
      </c>
      <c r="AO591" s="38" t="s">
        <v>618</v>
      </c>
      <c r="AP591" s="38" t="s">
        <v>154</v>
      </c>
      <c r="AQ591" s="38">
        <v>4</v>
      </c>
      <c r="AR591" s="38">
        <v>4</v>
      </c>
      <c r="AS591" s="38" t="s">
        <v>404</v>
      </c>
      <c r="AW591" s="64"/>
      <c r="CX591" s="38">
        <f>1.05/5.9*100</f>
        <v>17.796610169491526</v>
      </c>
      <c r="CY591" s="38">
        <f>0.24/5.9*100</f>
        <v>4.0677966101694913</v>
      </c>
      <c r="CZ591" s="38" t="s">
        <v>553</v>
      </c>
      <c r="DG591" s="38">
        <v>0.26429999999999998</v>
      </c>
      <c r="DH591" s="38">
        <v>0.2923</v>
      </c>
      <c r="DI591" s="38" t="s">
        <v>552</v>
      </c>
      <c r="DS591" s="12"/>
      <c r="DU591" s="15"/>
      <c r="FA591" s="38" t="s">
        <v>855</v>
      </c>
      <c r="FC591" s="38">
        <v>30</v>
      </c>
    </row>
    <row r="592" spans="1:159" s="38" customFormat="1" x14ac:dyDescent="0.25">
      <c r="A592" s="38">
        <v>30</v>
      </c>
      <c r="B592" s="38" t="s">
        <v>545</v>
      </c>
      <c r="C592" s="38" t="s">
        <v>546</v>
      </c>
      <c r="D592" s="38">
        <v>2002</v>
      </c>
      <c r="E592" s="38">
        <v>2000</v>
      </c>
      <c r="F592" s="38" t="s">
        <v>547</v>
      </c>
      <c r="G592" s="38" t="s">
        <v>548</v>
      </c>
      <c r="H592" s="38">
        <f t="shared" si="201"/>
        <v>38.533333333333331</v>
      </c>
      <c r="I592" s="38">
        <f t="shared" si="202"/>
        <v>-121.78333333333333</v>
      </c>
      <c r="J592" s="38">
        <v>18.399999999999999</v>
      </c>
      <c r="N592" s="38">
        <v>483</v>
      </c>
      <c r="P592" s="57" t="s">
        <v>182</v>
      </c>
      <c r="Q592" s="57"/>
      <c r="R592" s="57">
        <v>36582</v>
      </c>
      <c r="S592" s="57" t="s">
        <v>1660</v>
      </c>
      <c r="T592" s="57" t="s">
        <v>1682</v>
      </c>
      <c r="V592" s="38">
        <v>36</v>
      </c>
      <c r="W592" s="38">
        <v>46</v>
      </c>
      <c r="X592" s="38" t="s">
        <v>175</v>
      </c>
      <c r="AB592" s="38" t="s">
        <v>1566</v>
      </c>
      <c r="AC592" s="38" t="s">
        <v>1817</v>
      </c>
      <c r="AD592" s="153" t="str">
        <f t="shared" si="203"/>
        <v>Common_Vetch</v>
      </c>
      <c r="AE592" s="38" t="s">
        <v>1635</v>
      </c>
      <c r="AG592" s="38" t="s">
        <v>549</v>
      </c>
      <c r="AH592" s="38" t="s">
        <v>549</v>
      </c>
      <c r="AI592" s="38" t="s">
        <v>230</v>
      </c>
      <c r="AM592" s="38" t="s">
        <v>443</v>
      </c>
      <c r="AN592" s="38" t="s">
        <v>550</v>
      </c>
      <c r="AO592" s="38" t="s">
        <v>618</v>
      </c>
      <c r="AP592" s="38" t="s">
        <v>154</v>
      </c>
      <c r="AQ592" s="38">
        <v>4</v>
      </c>
      <c r="AR592" s="38">
        <v>4</v>
      </c>
      <c r="AS592" s="38" t="s">
        <v>404</v>
      </c>
      <c r="AW592" s="64"/>
      <c r="CX592" s="38">
        <f>0.2/1.5*100</f>
        <v>13.333333333333334</v>
      </c>
      <c r="CY592" s="38">
        <f>0.2/1.5*100</f>
        <v>13.333333333333334</v>
      </c>
      <c r="CZ592" s="38" t="s">
        <v>553</v>
      </c>
      <c r="DG592" s="38">
        <v>0.26419999999999999</v>
      </c>
      <c r="DH592" s="38">
        <v>0.28589999999999999</v>
      </c>
      <c r="DI592" s="38" t="s">
        <v>552</v>
      </c>
      <c r="DS592" s="12"/>
      <c r="DU592" s="15"/>
      <c r="FA592" s="38" t="s">
        <v>855</v>
      </c>
      <c r="FC592" s="38">
        <v>30</v>
      </c>
    </row>
    <row r="593" spans="1:159" s="38" customFormat="1" x14ac:dyDescent="0.25">
      <c r="A593" s="38">
        <v>30</v>
      </c>
      <c r="B593" s="38" t="s">
        <v>545</v>
      </c>
      <c r="C593" s="38" t="s">
        <v>546</v>
      </c>
      <c r="D593" s="38">
        <v>2002</v>
      </c>
      <c r="E593" s="38">
        <v>2000</v>
      </c>
      <c r="F593" s="38" t="s">
        <v>547</v>
      </c>
      <c r="G593" s="38" t="s">
        <v>548</v>
      </c>
      <c r="H593" s="38">
        <f t="shared" si="201"/>
        <v>38.533333333333331</v>
      </c>
      <c r="I593" s="38">
        <f t="shared" si="202"/>
        <v>-121.78333333333333</v>
      </c>
      <c r="J593" s="38">
        <v>18.399999999999999</v>
      </c>
      <c r="N593" s="38">
        <v>483</v>
      </c>
      <c r="P593" s="57" t="s">
        <v>182</v>
      </c>
      <c r="Q593" s="57"/>
      <c r="R593" s="57">
        <v>36582</v>
      </c>
      <c r="S593" s="57" t="s">
        <v>1660</v>
      </c>
      <c r="T593" s="57" t="s">
        <v>1682</v>
      </c>
      <c r="V593" s="38">
        <v>36</v>
      </c>
      <c r="W593" s="38">
        <v>46</v>
      </c>
      <c r="X593" s="38" t="s">
        <v>175</v>
      </c>
      <c r="AB593" s="38" t="s">
        <v>1566</v>
      </c>
      <c r="AC593" s="38" t="s">
        <v>1817</v>
      </c>
      <c r="AD593" s="153" t="str">
        <f t="shared" si="203"/>
        <v>Common_Vetch</v>
      </c>
      <c r="AE593" s="38" t="s">
        <v>1635</v>
      </c>
      <c r="AG593" s="38" t="s">
        <v>549</v>
      </c>
      <c r="AH593" s="38" t="s">
        <v>549</v>
      </c>
      <c r="AI593" s="38" t="s">
        <v>230</v>
      </c>
      <c r="AM593" s="38" t="s">
        <v>443</v>
      </c>
      <c r="AN593" s="38" t="s">
        <v>551</v>
      </c>
      <c r="AO593" s="38" t="s">
        <v>618</v>
      </c>
      <c r="AP593" s="38" t="s">
        <v>154</v>
      </c>
      <c r="AQ593" s="38">
        <v>4</v>
      </c>
      <c r="AR593" s="38">
        <v>4</v>
      </c>
      <c r="AS593" s="38" t="s">
        <v>404</v>
      </c>
      <c r="AW593" s="64"/>
      <c r="CX593" s="38">
        <f>0.2/1.5*100</f>
        <v>13.333333333333334</v>
      </c>
      <c r="CY593" s="38">
        <f>0.1/1.5*100</f>
        <v>6.666666666666667</v>
      </c>
      <c r="CZ593" s="38" t="s">
        <v>553</v>
      </c>
      <c r="DG593" s="38">
        <v>0.26419999999999999</v>
      </c>
      <c r="DH593" s="38">
        <v>0.29049999999999998</v>
      </c>
      <c r="DI593" s="38" t="s">
        <v>552</v>
      </c>
      <c r="DS593" s="12"/>
      <c r="DU593" s="15"/>
      <c r="FA593" s="38" t="s">
        <v>855</v>
      </c>
      <c r="FC593" s="38">
        <v>30</v>
      </c>
    </row>
    <row r="594" spans="1:159" s="38" customFormat="1" x14ac:dyDescent="0.25">
      <c r="A594" s="38">
        <v>30</v>
      </c>
      <c r="B594" s="38" t="s">
        <v>545</v>
      </c>
      <c r="C594" s="38" t="s">
        <v>546</v>
      </c>
      <c r="D594" s="38">
        <v>2002</v>
      </c>
      <c r="E594" s="38">
        <v>2000</v>
      </c>
      <c r="F594" s="38" t="s">
        <v>547</v>
      </c>
      <c r="G594" s="38" t="s">
        <v>548</v>
      </c>
      <c r="H594" s="38">
        <f t="shared" si="201"/>
        <v>38.533333333333331</v>
      </c>
      <c r="I594" s="38">
        <f t="shared" si="202"/>
        <v>-121.78333333333333</v>
      </c>
      <c r="J594" s="38">
        <v>18.399999999999999</v>
      </c>
      <c r="N594" s="38">
        <v>483</v>
      </c>
      <c r="P594" s="57" t="s">
        <v>182</v>
      </c>
      <c r="Q594" s="57"/>
      <c r="R594" s="57">
        <v>36587</v>
      </c>
      <c r="S594" s="57" t="s">
        <v>1660</v>
      </c>
      <c r="T594" s="57" t="s">
        <v>1682</v>
      </c>
      <c r="V594" s="38">
        <v>36</v>
      </c>
      <c r="W594" s="38">
        <v>46</v>
      </c>
      <c r="X594" s="38" t="s">
        <v>175</v>
      </c>
      <c r="AB594" s="38" t="s">
        <v>1566</v>
      </c>
      <c r="AC594" s="38" t="s">
        <v>1817</v>
      </c>
      <c r="AD594" s="153" t="str">
        <f t="shared" si="203"/>
        <v>Common_Vetch</v>
      </c>
      <c r="AE594" s="38" t="s">
        <v>1635</v>
      </c>
      <c r="AG594" s="38" t="s">
        <v>549</v>
      </c>
      <c r="AH594" s="38" t="s">
        <v>549</v>
      </c>
      <c r="AI594" s="38" t="s">
        <v>230</v>
      </c>
      <c r="AM594" s="38" t="s">
        <v>443</v>
      </c>
      <c r="AN594" s="38" t="s">
        <v>550</v>
      </c>
      <c r="AO594" s="38" t="s">
        <v>618</v>
      </c>
      <c r="AP594" s="38" t="s">
        <v>154</v>
      </c>
      <c r="AQ594" s="38">
        <v>4</v>
      </c>
      <c r="AR594" s="38">
        <v>4</v>
      </c>
      <c r="AS594" s="38" t="s">
        <v>404</v>
      </c>
      <c r="AW594" s="64"/>
      <c r="CX594" s="38">
        <f>23.11/40*100</f>
        <v>57.774999999999999</v>
      </c>
      <c r="CY594" s="38">
        <f>1.48/40*100</f>
        <v>3.6999999999999997</v>
      </c>
      <c r="CZ594" s="38" t="s">
        <v>553</v>
      </c>
      <c r="DG594" s="38">
        <v>0.26150000000000001</v>
      </c>
      <c r="DH594" s="38">
        <v>0.28589999999999999</v>
      </c>
      <c r="DI594" s="38" t="s">
        <v>552</v>
      </c>
      <c r="DS594" s="12"/>
      <c r="DU594" s="15"/>
      <c r="FA594" s="38" t="s">
        <v>855</v>
      </c>
      <c r="FC594" s="38">
        <v>30</v>
      </c>
    </row>
    <row r="595" spans="1:159" s="38" customFormat="1" x14ac:dyDescent="0.25">
      <c r="A595" s="38">
        <v>30</v>
      </c>
      <c r="B595" s="38" t="s">
        <v>545</v>
      </c>
      <c r="C595" s="38" t="s">
        <v>546</v>
      </c>
      <c r="D595" s="38">
        <v>2002</v>
      </c>
      <c r="E595" s="38">
        <v>2000</v>
      </c>
      <c r="F595" s="38" t="s">
        <v>547</v>
      </c>
      <c r="G595" s="38" t="s">
        <v>548</v>
      </c>
      <c r="H595" s="38">
        <f t="shared" si="201"/>
        <v>38.533333333333331</v>
      </c>
      <c r="I595" s="38">
        <f t="shared" si="202"/>
        <v>-121.78333333333333</v>
      </c>
      <c r="J595" s="38">
        <v>18.399999999999999</v>
      </c>
      <c r="N595" s="38">
        <v>483</v>
      </c>
      <c r="P595" s="57" t="s">
        <v>182</v>
      </c>
      <c r="Q595" s="57"/>
      <c r="R595" s="57">
        <v>36587</v>
      </c>
      <c r="S595" s="57" t="s">
        <v>1660</v>
      </c>
      <c r="T595" s="57" t="s">
        <v>1682</v>
      </c>
      <c r="V595" s="38">
        <v>36</v>
      </c>
      <c r="W595" s="38">
        <v>46</v>
      </c>
      <c r="X595" s="38" t="s">
        <v>175</v>
      </c>
      <c r="AB595" s="38" t="s">
        <v>1566</v>
      </c>
      <c r="AC595" s="38" t="s">
        <v>1817</v>
      </c>
      <c r="AD595" s="153" t="str">
        <f t="shared" si="203"/>
        <v>Common_Vetch</v>
      </c>
      <c r="AE595" s="38" t="s">
        <v>1635</v>
      </c>
      <c r="AG595" s="38" t="s">
        <v>549</v>
      </c>
      <c r="AH595" s="38" t="s">
        <v>549</v>
      </c>
      <c r="AI595" s="38" t="s">
        <v>230</v>
      </c>
      <c r="AM595" s="38" t="s">
        <v>443</v>
      </c>
      <c r="AN595" s="38" t="s">
        <v>551</v>
      </c>
      <c r="AO595" s="38" t="s">
        <v>618</v>
      </c>
      <c r="AP595" s="38" t="s">
        <v>154</v>
      </c>
      <c r="AQ595" s="38">
        <v>4</v>
      </c>
      <c r="AR595" s="38">
        <v>4</v>
      </c>
      <c r="AS595" s="38" t="s">
        <v>404</v>
      </c>
      <c r="AW595" s="64"/>
      <c r="CX595" s="38">
        <f>23.11/40*100</f>
        <v>57.774999999999999</v>
      </c>
      <c r="CY595" s="38">
        <f>2.56/40*100</f>
        <v>6.4</v>
      </c>
      <c r="CZ595" s="38" t="s">
        <v>553</v>
      </c>
      <c r="DG595" s="38">
        <v>0.26150000000000001</v>
      </c>
      <c r="DH595" s="38">
        <v>0.2913</v>
      </c>
      <c r="DI595" s="38" t="s">
        <v>552</v>
      </c>
      <c r="DS595" s="12"/>
      <c r="DU595" s="15"/>
      <c r="FA595" s="38" t="s">
        <v>855</v>
      </c>
      <c r="FC595" s="38">
        <v>30</v>
      </c>
    </row>
    <row r="596" spans="1:159" s="38" customFormat="1" x14ac:dyDescent="0.25">
      <c r="A596" s="38">
        <v>30</v>
      </c>
      <c r="B596" s="38" t="s">
        <v>545</v>
      </c>
      <c r="C596" s="38" t="s">
        <v>546</v>
      </c>
      <c r="D596" s="38">
        <v>2002</v>
      </c>
      <c r="E596" s="38">
        <v>2000</v>
      </c>
      <c r="F596" s="38" t="s">
        <v>547</v>
      </c>
      <c r="G596" s="38" t="s">
        <v>548</v>
      </c>
      <c r="H596" s="38">
        <f t="shared" si="201"/>
        <v>38.533333333333331</v>
      </c>
      <c r="I596" s="38">
        <f t="shared" si="202"/>
        <v>-121.78333333333333</v>
      </c>
      <c r="J596" s="38">
        <v>18.399999999999999</v>
      </c>
      <c r="N596" s="38">
        <v>483</v>
      </c>
      <c r="P596" s="57" t="s">
        <v>182</v>
      </c>
      <c r="Q596" s="57"/>
      <c r="R596" s="57">
        <v>36598</v>
      </c>
      <c r="S596" s="57" t="s">
        <v>1660</v>
      </c>
      <c r="T596" s="57" t="s">
        <v>1682</v>
      </c>
      <c r="V596" s="38">
        <v>36</v>
      </c>
      <c r="W596" s="38">
        <v>46</v>
      </c>
      <c r="X596" s="38" t="s">
        <v>175</v>
      </c>
      <c r="AB596" s="38" t="s">
        <v>1566</v>
      </c>
      <c r="AC596" s="38" t="s">
        <v>1817</v>
      </c>
      <c r="AD596" s="153" t="str">
        <f t="shared" si="203"/>
        <v>Common_Vetch</v>
      </c>
      <c r="AE596" s="38" t="s">
        <v>1635</v>
      </c>
      <c r="AG596" s="38" t="s">
        <v>549</v>
      </c>
      <c r="AH596" s="38" t="s">
        <v>549</v>
      </c>
      <c r="AI596" s="38" t="s">
        <v>230</v>
      </c>
      <c r="AM596" s="38" t="s">
        <v>443</v>
      </c>
      <c r="AN596" s="38" t="s">
        <v>550</v>
      </c>
      <c r="AO596" s="38" t="s">
        <v>618</v>
      </c>
      <c r="AP596" s="38" t="s">
        <v>154</v>
      </c>
      <c r="AQ596" s="38">
        <v>4</v>
      </c>
      <c r="AR596" s="38">
        <v>4</v>
      </c>
      <c r="AS596" s="38" t="s">
        <v>404</v>
      </c>
      <c r="AW596" s="64"/>
      <c r="CX596" s="38">
        <f>30.62/51.6*100</f>
        <v>59.34108527131783</v>
      </c>
      <c r="CY596" s="38">
        <f>4.93/51.6*100</f>
        <v>9.5542635658914712</v>
      </c>
      <c r="CZ596" s="38" t="s">
        <v>553</v>
      </c>
      <c r="DG596" s="38">
        <v>0.24779999999999999</v>
      </c>
      <c r="DH596" s="38">
        <v>0.25690000000000002</v>
      </c>
      <c r="DI596" s="38" t="s">
        <v>552</v>
      </c>
      <c r="DS596" s="12"/>
      <c r="DU596" s="15"/>
      <c r="FA596" s="38" t="s">
        <v>855</v>
      </c>
      <c r="FC596" s="38">
        <v>30</v>
      </c>
    </row>
    <row r="597" spans="1:159" s="38" customFormat="1" x14ac:dyDescent="0.25">
      <c r="A597" s="38">
        <v>30</v>
      </c>
      <c r="B597" s="38" t="s">
        <v>545</v>
      </c>
      <c r="C597" s="38" t="s">
        <v>546</v>
      </c>
      <c r="D597" s="38">
        <v>2002</v>
      </c>
      <c r="E597" s="38">
        <v>2000</v>
      </c>
      <c r="F597" s="38" t="s">
        <v>547</v>
      </c>
      <c r="G597" s="38" t="s">
        <v>548</v>
      </c>
      <c r="H597" s="38">
        <f t="shared" si="201"/>
        <v>38.533333333333331</v>
      </c>
      <c r="I597" s="38">
        <f t="shared" si="202"/>
        <v>-121.78333333333333</v>
      </c>
      <c r="J597" s="38">
        <v>18.399999999999999</v>
      </c>
      <c r="N597" s="38">
        <v>483</v>
      </c>
      <c r="P597" s="57" t="s">
        <v>182</v>
      </c>
      <c r="Q597" s="57"/>
      <c r="R597" s="57">
        <v>36598</v>
      </c>
      <c r="S597" s="57" t="s">
        <v>1660</v>
      </c>
      <c r="T597" s="57" t="s">
        <v>1682</v>
      </c>
      <c r="V597" s="38">
        <v>36</v>
      </c>
      <c r="W597" s="38">
        <v>46</v>
      </c>
      <c r="X597" s="38" t="s">
        <v>175</v>
      </c>
      <c r="AB597" s="38" t="s">
        <v>1566</v>
      </c>
      <c r="AC597" s="38" t="s">
        <v>1817</v>
      </c>
      <c r="AD597" s="153" t="str">
        <f t="shared" si="203"/>
        <v>Common_Vetch</v>
      </c>
      <c r="AE597" s="38" t="s">
        <v>1635</v>
      </c>
      <c r="AG597" s="38" t="s">
        <v>549</v>
      </c>
      <c r="AH597" s="38" t="s">
        <v>549</v>
      </c>
      <c r="AI597" s="38" t="s">
        <v>230</v>
      </c>
      <c r="AM597" s="38" t="s">
        <v>443</v>
      </c>
      <c r="AN597" s="38" t="s">
        <v>551</v>
      </c>
      <c r="AO597" s="38" t="s">
        <v>618</v>
      </c>
      <c r="AP597" s="38" t="s">
        <v>154</v>
      </c>
      <c r="AQ597" s="38">
        <v>4</v>
      </c>
      <c r="AR597" s="38">
        <v>4</v>
      </c>
      <c r="AS597" s="38" t="s">
        <v>404</v>
      </c>
      <c r="AW597" s="64"/>
      <c r="CX597" s="38">
        <f>30.62/51.6*100</f>
        <v>59.34108527131783</v>
      </c>
      <c r="CY597" s="38">
        <f>6.03/51.6*100</f>
        <v>11.686046511627907</v>
      </c>
      <c r="CZ597" s="38" t="s">
        <v>553</v>
      </c>
      <c r="DG597" s="38">
        <v>0.24779999999999999</v>
      </c>
      <c r="DH597" s="38">
        <v>0.2641</v>
      </c>
      <c r="DI597" s="38" t="s">
        <v>552</v>
      </c>
      <c r="DS597" s="12"/>
      <c r="DU597" s="15"/>
      <c r="FA597" s="38" t="s">
        <v>855</v>
      </c>
      <c r="FC597" s="38">
        <v>30</v>
      </c>
    </row>
    <row r="598" spans="1:159" s="23" customFormat="1" x14ac:dyDescent="0.25">
      <c r="A598" s="23">
        <v>30</v>
      </c>
      <c r="B598" s="23" t="s">
        <v>545</v>
      </c>
      <c r="C598" s="23" t="s">
        <v>546</v>
      </c>
      <c r="D598" s="23">
        <v>2002</v>
      </c>
      <c r="E598" s="23">
        <v>1998</v>
      </c>
      <c r="F598" s="23" t="s">
        <v>547</v>
      </c>
      <c r="G598" s="23" t="s">
        <v>548</v>
      </c>
      <c r="H598" s="23">
        <f t="shared" ref="H598:H629" si="204">38+32/60</f>
        <v>38.533333333333331</v>
      </c>
      <c r="I598" s="23">
        <f t="shared" ref="I598:I629" si="205">-121-47/60</f>
        <v>-121.78333333333333</v>
      </c>
      <c r="J598" s="23">
        <v>18.399999999999999</v>
      </c>
      <c r="N598" s="23">
        <v>483</v>
      </c>
      <c r="P598" s="53" t="s">
        <v>180</v>
      </c>
      <c r="Q598" s="53"/>
      <c r="R598" s="53">
        <v>36145</v>
      </c>
      <c r="S598" s="53" t="s">
        <v>1661</v>
      </c>
      <c r="T598" s="53" t="s">
        <v>1682</v>
      </c>
      <c r="V598" s="23">
        <v>36</v>
      </c>
      <c r="W598" s="23">
        <v>46</v>
      </c>
      <c r="X598" s="23" t="s">
        <v>175</v>
      </c>
      <c r="AB598" s="23" t="s">
        <v>1566</v>
      </c>
      <c r="AC598" s="23" t="s">
        <v>1817</v>
      </c>
      <c r="AD598" s="153" t="str">
        <f t="shared" si="203"/>
        <v>Common_Vetch</v>
      </c>
      <c r="AE598" s="23" t="s">
        <v>1635</v>
      </c>
      <c r="AG598" s="23" t="s">
        <v>549</v>
      </c>
      <c r="AH598" s="23" t="s">
        <v>549</v>
      </c>
      <c r="AI598" s="23" t="s">
        <v>230</v>
      </c>
      <c r="AM598" s="23" t="s">
        <v>443</v>
      </c>
      <c r="AN598" s="23" t="s">
        <v>550</v>
      </c>
      <c r="AO598" s="23" t="s">
        <v>618</v>
      </c>
      <c r="AP598" s="23" t="s">
        <v>154</v>
      </c>
      <c r="AQ598" s="23">
        <v>4</v>
      </c>
      <c r="AR598" s="23">
        <v>4</v>
      </c>
      <c r="AS598" s="23" t="s">
        <v>404</v>
      </c>
      <c r="AW598" s="64"/>
      <c r="CX598" s="23">
        <f>3.18/9.4*100</f>
        <v>33.829787234042556</v>
      </c>
      <c r="CY598" s="23">
        <f>0.69/9.4*100</f>
        <v>7.3404255319148932</v>
      </c>
      <c r="CZ598" s="23" t="s">
        <v>553</v>
      </c>
      <c r="DG598" s="23">
        <v>0.11459999999999999</v>
      </c>
      <c r="DH598" s="23">
        <v>0.11269999999999999</v>
      </c>
      <c r="DI598" s="23" t="s">
        <v>552</v>
      </c>
      <c r="DS598" s="12"/>
      <c r="DU598" s="15"/>
      <c r="FA598" s="23" t="s">
        <v>855</v>
      </c>
      <c r="FC598" s="23">
        <v>30</v>
      </c>
    </row>
    <row r="599" spans="1:159" s="23" customFormat="1" x14ac:dyDescent="0.25">
      <c r="A599" s="23">
        <v>30</v>
      </c>
      <c r="B599" s="23" t="s">
        <v>545</v>
      </c>
      <c r="C599" s="23" t="s">
        <v>546</v>
      </c>
      <c r="D599" s="23">
        <v>2002</v>
      </c>
      <c r="E599" s="23">
        <v>1998</v>
      </c>
      <c r="F599" s="23" t="s">
        <v>547</v>
      </c>
      <c r="G599" s="23" t="s">
        <v>548</v>
      </c>
      <c r="H599" s="23">
        <f t="shared" si="204"/>
        <v>38.533333333333331</v>
      </c>
      <c r="I599" s="23">
        <f t="shared" si="205"/>
        <v>-121.78333333333333</v>
      </c>
      <c r="J599" s="23">
        <v>18.399999999999999</v>
      </c>
      <c r="N599" s="23">
        <v>483</v>
      </c>
      <c r="P599" s="53" t="s">
        <v>180</v>
      </c>
      <c r="Q599" s="53"/>
      <c r="R599" s="53">
        <v>36145</v>
      </c>
      <c r="S599" s="53" t="s">
        <v>1661</v>
      </c>
      <c r="T599" s="53" t="s">
        <v>1682</v>
      </c>
      <c r="V599" s="23">
        <v>36</v>
      </c>
      <c r="W599" s="23">
        <v>46</v>
      </c>
      <c r="X599" s="23" t="s">
        <v>175</v>
      </c>
      <c r="AB599" s="23" t="s">
        <v>1566</v>
      </c>
      <c r="AC599" s="23" t="s">
        <v>1817</v>
      </c>
      <c r="AD599" s="153" t="str">
        <f t="shared" si="203"/>
        <v>Common_Vetch</v>
      </c>
      <c r="AE599" s="23" t="s">
        <v>1635</v>
      </c>
      <c r="AG599" s="23" t="s">
        <v>549</v>
      </c>
      <c r="AH599" s="23" t="s">
        <v>549</v>
      </c>
      <c r="AI599" s="23" t="s">
        <v>230</v>
      </c>
      <c r="AM599" s="23" t="s">
        <v>443</v>
      </c>
      <c r="AN599" s="23" t="s">
        <v>551</v>
      </c>
      <c r="AO599" s="23" t="s">
        <v>618</v>
      </c>
      <c r="AP599" s="23" t="s">
        <v>154</v>
      </c>
      <c r="AQ599" s="23">
        <v>4</v>
      </c>
      <c r="AR599" s="23">
        <v>4</v>
      </c>
      <c r="AS599" s="23" t="s">
        <v>404</v>
      </c>
      <c r="AW599" s="64"/>
      <c r="CX599" s="23">
        <f>3.18/9.4*100</f>
        <v>33.829787234042556</v>
      </c>
      <c r="CY599" s="23">
        <f>0.22/9.4*100</f>
        <v>2.3404255319148937</v>
      </c>
      <c r="CZ599" s="23" t="s">
        <v>553</v>
      </c>
      <c r="DG599" s="23">
        <v>0.11459999999999999</v>
      </c>
      <c r="DH599" s="23">
        <v>0.114</v>
      </c>
      <c r="DI599" s="23" t="s">
        <v>552</v>
      </c>
      <c r="DS599" s="12"/>
      <c r="DU599" s="15"/>
      <c r="FA599" s="23" t="s">
        <v>855</v>
      </c>
      <c r="FC599" s="23">
        <v>30</v>
      </c>
    </row>
    <row r="600" spans="1:159" s="23" customFormat="1" x14ac:dyDescent="0.25">
      <c r="A600" s="23">
        <v>30</v>
      </c>
      <c r="B600" s="23" t="s">
        <v>545</v>
      </c>
      <c r="C600" s="23" t="s">
        <v>546</v>
      </c>
      <c r="D600" s="23">
        <v>2002</v>
      </c>
      <c r="E600" s="23">
        <v>1999</v>
      </c>
      <c r="F600" s="23" t="s">
        <v>547</v>
      </c>
      <c r="G600" s="23" t="s">
        <v>548</v>
      </c>
      <c r="H600" s="23">
        <f t="shared" si="204"/>
        <v>38.533333333333331</v>
      </c>
      <c r="I600" s="23">
        <f t="shared" si="205"/>
        <v>-121.78333333333333</v>
      </c>
      <c r="J600" s="23">
        <v>18.399999999999999</v>
      </c>
      <c r="N600" s="23">
        <v>483</v>
      </c>
      <c r="P600" s="53" t="s">
        <v>181</v>
      </c>
      <c r="Q600" s="53"/>
      <c r="R600" s="53">
        <v>36170</v>
      </c>
      <c r="S600" s="53" t="s">
        <v>1661</v>
      </c>
      <c r="T600" s="53" t="s">
        <v>1682</v>
      </c>
      <c r="V600" s="23">
        <v>36</v>
      </c>
      <c r="W600" s="23">
        <v>46</v>
      </c>
      <c r="X600" s="23" t="s">
        <v>175</v>
      </c>
      <c r="AB600" s="23" t="s">
        <v>1566</v>
      </c>
      <c r="AC600" s="23" t="s">
        <v>1817</v>
      </c>
      <c r="AD600" s="153" t="str">
        <f t="shared" si="203"/>
        <v>Common_Vetch</v>
      </c>
      <c r="AE600" s="23" t="s">
        <v>1635</v>
      </c>
      <c r="AG600" s="23" t="s">
        <v>549</v>
      </c>
      <c r="AH600" s="23" t="s">
        <v>549</v>
      </c>
      <c r="AI600" s="23" t="s">
        <v>230</v>
      </c>
      <c r="AM600" s="23" t="s">
        <v>443</v>
      </c>
      <c r="AN600" s="23" t="s">
        <v>550</v>
      </c>
      <c r="AO600" s="23" t="s">
        <v>618</v>
      </c>
      <c r="AP600" s="23" t="s">
        <v>154</v>
      </c>
      <c r="AQ600" s="23">
        <v>4</v>
      </c>
      <c r="AR600" s="23">
        <v>4</v>
      </c>
      <c r="AS600" s="23" t="s">
        <v>404</v>
      </c>
      <c r="AW600" s="64"/>
      <c r="CX600" s="23">
        <f>0.61/2.1*100</f>
        <v>29.047619047619044</v>
      </c>
      <c r="CY600" s="23">
        <f>0.3/2.1*100</f>
        <v>14.285714285714285</v>
      </c>
      <c r="CZ600" s="23" t="s">
        <v>553</v>
      </c>
      <c r="DG600" s="23">
        <v>0.1154</v>
      </c>
      <c r="DH600" s="23">
        <v>0.15540000000000001</v>
      </c>
      <c r="DI600" s="23" t="s">
        <v>552</v>
      </c>
      <c r="DS600" s="12"/>
      <c r="DU600" s="15"/>
      <c r="FA600" s="23" t="s">
        <v>855</v>
      </c>
      <c r="FC600" s="23">
        <v>30</v>
      </c>
    </row>
    <row r="601" spans="1:159" s="23" customFormat="1" x14ac:dyDescent="0.25">
      <c r="A601" s="23">
        <v>30</v>
      </c>
      <c r="B601" s="23" t="s">
        <v>545</v>
      </c>
      <c r="C601" s="23" t="s">
        <v>546</v>
      </c>
      <c r="D601" s="23">
        <v>2002</v>
      </c>
      <c r="E601" s="23">
        <v>1999</v>
      </c>
      <c r="F601" s="23" t="s">
        <v>547</v>
      </c>
      <c r="G601" s="23" t="s">
        <v>548</v>
      </c>
      <c r="H601" s="23">
        <f t="shared" si="204"/>
        <v>38.533333333333331</v>
      </c>
      <c r="I601" s="23">
        <f t="shared" si="205"/>
        <v>-121.78333333333333</v>
      </c>
      <c r="J601" s="23">
        <v>18.399999999999999</v>
      </c>
      <c r="N601" s="23">
        <v>483</v>
      </c>
      <c r="P601" s="53" t="s">
        <v>181</v>
      </c>
      <c r="Q601" s="53"/>
      <c r="R601" s="53">
        <v>36170</v>
      </c>
      <c r="S601" s="53" t="s">
        <v>1661</v>
      </c>
      <c r="T601" s="53" t="s">
        <v>1682</v>
      </c>
      <c r="V601" s="23">
        <v>36</v>
      </c>
      <c r="W601" s="23">
        <v>46</v>
      </c>
      <c r="X601" s="23" t="s">
        <v>175</v>
      </c>
      <c r="AB601" s="23" t="s">
        <v>1566</v>
      </c>
      <c r="AC601" s="23" t="s">
        <v>1817</v>
      </c>
      <c r="AD601" s="153" t="str">
        <f t="shared" si="203"/>
        <v>Common_Vetch</v>
      </c>
      <c r="AE601" s="23" t="s">
        <v>1635</v>
      </c>
      <c r="AG601" s="23" t="s">
        <v>549</v>
      </c>
      <c r="AH601" s="23" t="s">
        <v>549</v>
      </c>
      <c r="AI601" s="23" t="s">
        <v>230</v>
      </c>
      <c r="AM601" s="23" t="s">
        <v>443</v>
      </c>
      <c r="AN601" s="23" t="s">
        <v>551</v>
      </c>
      <c r="AO601" s="23" t="s">
        <v>618</v>
      </c>
      <c r="AP601" s="23" t="s">
        <v>154</v>
      </c>
      <c r="AQ601" s="23">
        <v>4</v>
      </c>
      <c r="AR601" s="23">
        <v>4</v>
      </c>
      <c r="AS601" s="23" t="s">
        <v>404</v>
      </c>
      <c r="AW601" s="64"/>
      <c r="CX601" s="23">
        <f>0.61/2.1*100</f>
        <v>29.047619047619044</v>
      </c>
      <c r="CY601" s="23">
        <f>0.34/2.1*100</f>
        <v>16.19047619047619</v>
      </c>
      <c r="CZ601" s="23" t="s">
        <v>553</v>
      </c>
      <c r="DG601" s="23">
        <v>0.1154</v>
      </c>
      <c r="DH601" s="23">
        <v>0.15540000000000001</v>
      </c>
      <c r="DI601" s="23" t="s">
        <v>552</v>
      </c>
      <c r="DS601" s="12"/>
      <c r="DU601" s="15"/>
      <c r="FA601" s="23" t="s">
        <v>855</v>
      </c>
      <c r="FC601" s="23">
        <v>30</v>
      </c>
    </row>
    <row r="602" spans="1:159" s="23" customFormat="1" x14ac:dyDescent="0.25">
      <c r="A602" s="23">
        <v>30</v>
      </c>
      <c r="B602" s="23" t="s">
        <v>545</v>
      </c>
      <c r="C602" s="23" t="s">
        <v>546</v>
      </c>
      <c r="D602" s="23">
        <v>2002</v>
      </c>
      <c r="E602" s="23">
        <v>1999</v>
      </c>
      <c r="F602" s="23" t="s">
        <v>547</v>
      </c>
      <c r="G602" s="23" t="s">
        <v>548</v>
      </c>
      <c r="H602" s="23">
        <f t="shared" si="204"/>
        <v>38.533333333333331</v>
      </c>
      <c r="I602" s="23">
        <f t="shared" si="205"/>
        <v>-121.78333333333333</v>
      </c>
      <c r="J602" s="23">
        <v>18.399999999999999</v>
      </c>
      <c r="N602" s="23">
        <v>483</v>
      </c>
      <c r="P602" s="53" t="s">
        <v>181</v>
      </c>
      <c r="Q602" s="53"/>
      <c r="R602" s="53">
        <v>36187</v>
      </c>
      <c r="S602" s="53" t="s">
        <v>1661</v>
      </c>
      <c r="T602" s="53" t="s">
        <v>1682</v>
      </c>
      <c r="V602" s="23">
        <v>36</v>
      </c>
      <c r="W602" s="23">
        <v>46</v>
      </c>
      <c r="X602" s="23" t="s">
        <v>175</v>
      </c>
      <c r="AB602" s="23" t="s">
        <v>1566</v>
      </c>
      <c r="AC602" s="23" t="s">
        <v>1817</v>
      </c>
      <c r="AD602" s="153" t="str">
        <f t="shared" si="203"/>
        <v>Common_Vetch</v>
      </c>
      <c r="AE602" s="23" t="s">
        <v>1635</v>
      </c>
      <c r="AG602" s="23" t="s">
        <v>549</v>
      </c>
      <c r="AH602" s="23" t="s">
        <v>549</v>
      </c>
      <c r="AI602" s="23" t="s">
        <v>230</v>
      </c>
      <c r="AM602" s="23" t="s">
        <v>443</v>
      </c>
      <c r="AN602" s="23" t="s">
        <v>550</v>
      </c>
      <c r="AO602" s="23" t="s">
        <v>618</v>
      </c>
      <c r="AP602" s="23" t="s">
        <v>154</v>
      </c>
      <c r="AQ602" s="23">
        <v>4</v>
      </c>
      <c r="AR602" s="23">
        <v>4</v>
      </c>
      <c r="AS602" s="23" t="s">
        <v>404</v>
      </c>
      <c r="AW602" s="64"/>
      <c r="CX602" s="23">
        <f>10.71/19.8*100</f>
        <v>54.090909090909086</v>
      </c>
      <c r="CY602" s="23">
        <f>3.42/19.8*100</f>
        <v>17.272727272727273</v>
      </c>
      <c r="CZ602" s="23" t="s">
        <v>553</v>
      </c>
      <c r="DG602" s="23">
        <v>0.11890000000000001</v>
      </c>
      <c r="DH602" s="23">
        <v>0.1174</v>
      </c>
      <c r="DI602" s="23" t="s">
        <v>552</v>
      </c>
      <c r="DS602" s="12"/>
      <c r="DU602" s="15"/>
      <c r="FA602" s="23" t="s">
        <v>855</v>
      </c>
      <c r="FC602" s="23">
        <v>30</v>
      </c>
    </row>
    <row r="603" spans="1:159" s="23" customFormat="1" x14ac:dyDescent="0.25">
      <c r="A603" s="23">
        <v>30</v>
      </c>
      <c r="B603" s="23" t="s">
        <v>545</v>
      </c>
      <c r="C603" s="23" t="s">
        <v>546</v>
      </c>
      <c r="D603" s="23">
        <v>2002</v>
      </c>
      <c r="E603" s="23">
        <v>1999</v>
      </c>
      <c r="F603" s="23" t="s">
        <v>547</v>
      </c>
      <c r="G603" s="23" t="s">
        <v>548</v>
      </c>
      <c r="H603" s="23">
        <f t="shared" si="204"/>
        <v>38.533333333333331</v>
      </c>
      <c r="I603" s="23">
        <f t="shared" si="205"/>
        <v>-121.78333333333333</v>
      </c>
      <c r="J603" s="23">
        <v>18.399999999999999</v>
      </c>
      <c r="N603" s="23">
        <v>483</v>
      </c>
      <c r="P603" s="53" t="s">
        <v>181</v>
      </c>
      <c r="Q603" s="53"/>
      <c r="R603" s="53">
        <v>36187</v>
      </c>
      <c r="S603" s="53" t="s">
        <v>1661</v>
      </c>
      <c r="T603" s="53" t="s">
        <v>1682</v>
      </c>
      <c r="V603" s="23">
        <v>36</v>
      </c>
      <c r="W603" s="23">
        <v>46</v>
      </c>
      <c r="X603" s="23" t="s">
        <v>175</v>
      </c>
      <c r="AB603" s="23" t="s">
        <v>1566</v>
      </c>
      <c r="AC603" s="23" t="s">
        <v>1817</v>
      </c>
      <c r="AD603" s="153" t="str">
        <f t="shared" si="203"/>
        <v>Common_Vetch</v>
      </c>
      <c r="AE603" s="23" t="s">
        <v>1635</v>
      </c>
      <c r="AG603" s="23" t="s">
        <v>549</v>
      </c>
      <c r="AH603" s="23" t="s">
        <v>549</v>
      </c>
      <c r="AI603" s="23" t="s">
        <v>230</v>
      </c>
      <c r="AM603" s="23" t="s">
        <v>443</v>
      </c>
      <c r="AN603" s="23" t="s">
        <v>551</v>
      </c>
      <c r="AO603" s="23" t="s">
        <v>618</v>
      </c>
      <c r="AP603" s="23" t="s">
        <v>154</v>
      </c>
      <c r="AQ603" s="23">
        <v>4</v>
      </c>
      <c r="AR603" s="23">
        <v>4</v>
      </c>
      <c r="AS603" s="23" t="s">
        <v>404</v>
      </c>
      <c r="AW603" s="64"/>
      <c r="CX603" s="23">
        <f>10.71/19.8*100</f>
        <v>54.090909090909086</v>
      </c>
      <c r="CY603" s="23">
        <f>2.95/19.8*100</f>
        <v>14.8989898989899</v>
      </c>
      <c r="CZ603" s="23" t="s">
        <v>553</v>
      </c>
      <c r="DG603" s="23">
        <v>0.11890000000000001</v>
      </c>
      <c r="DH603" s="23">
        <v>0.1174</v>
      </c>
      <c r="DI603" s="23" t="s">
        <v>552</v>
      </c>
      <c r="DS603" s="12"/>
      <c r="DU603" s="15"/>
      <c r="FA603" s="23" t="s">
        <v>855</v>
      </c>
      <c r="FC603" s="23">
        <v>30</v>
      </c>
    </row>
    <row r="604" spans="1:159" s="23" customFormat="1" x14ac:dyDescent="0.25">
      <c r="A604" s="23">
        <v>30</v>
      </c>
      <c r="B604" s="23" t="s">
        <v>545</v>
      </c>
      <c r="C604" s="23" t="s">
        <v>546</v>
      </c>
      <c r="D604" s="23">
        <v>2002</v>
      </c>
      <c r="E604" s="23">
        <v>1999</v>
      </c>
      <c r="F604" s="23" t="s">
        <v>547</v>
      </c>
      <c r="G604" s="23" t="s">
        <v>548</v>
      </c>
      <c r="H604" s="23">
        <f t="shared" si="204"/>
        <v>38.533333333333331</v>
      </c>
      <c r="I604" s="23">
        <f t="shared" si="205"/>
        <v>-121.78333333333333</v>
      </c>
      <c r="J604" s="23">
        <v>18.399999999999999</v>
      </c>
      <c r="N604" s="23">
        <v>483</v>
      </c>
      <c r="P604" s="53" t="s">
        <v>181</v>
      </c>
      <c r="Q604" s="53"/>
      <c r="R604" s="53">
        <v>36198</v>
      </c>
      <c r="S604" s="53" t="s">
        <v>1661</v>
      </c>
      <c r="T604" s="53" t="s">
        <v>1682</v>
      </c>
      <c r="V604" s="23">
        <v>36</v>
      </c>
      <c r="W604" s="23">
        <v>46</v>
      </c>
      <c r="X604" s="23" t="s">
        <v>175</v>
      </c>
      <c r="AB604" s="23" t="s">
        <v>1566</v>
      </c>
      <c r="AC604" s="23" t="s">
        <v>1817</v>
      </c>
      <c r="AD604" s="153" t="str">
        <f t="shared" si="203"/>
        <v>Common_Vetch</v>
      </c>
      <c r="AE604" s="23" t="s">
        <v>1635</v>
      </c>
      <c r="AG604" s="23" t="s">
        <v>549</v>
      </c>
      <c r="AH604" s="23" t="s">
        <v>549</v>
      </c>
      <c r="AI604" s="23" t="s">
        <v>230</v>
      </c>
      <c r="AM604" s="23" t="s">
        <v>443</v>
      </c>
      <c r="AN604" s="23" t="s">
        <v>550</v>
      </c>
      <c r="AO604" s="23" t="s">
        <v>618</v>
      </c>
      <c r="AP604" s="23" t="s">
        <v>154</v>
      </c>
      <c r="AQ604" s="23">
        <v>4</v>
      </c>
      <c r="AR604" s="23">
        <v>4</v>
      </c>
      <c r="AS604" s="23" t="s">
        <v>404</v>
      </c>
      <c r="AW604" s="64"/>
      <c r="CX604" s="23">
        <f>8.71/15.5*100</f>
        <v>56.193548387096783</v>
      </c>
      <c r="CY604" s="23">
        <f>0.93/15.5*100</f>
        <v>6.0000000000000009</v>
      </c>
      <c r="CZ604" s="23" t="s">
        <v>553</v>
      </c>
      <c r="DG604" s="23">
        <v>0.16980000000000001</v>
      </c>
      <c r="DH604" s="23">
        <v>0.1479</v>
      </c>
      <c r="DI604" s="23" t="s">
        <v>552</v>
      </c>
      <c r="DS604" s="12"/>
      <c r="DU604" s="15"/>
      <c r="FA604" s="23" t="s">
        <v>855</v>
      </c>
      <c r="FC604" s="23">
        <v>30</v>
      </c>
    </row>
    <row r="605" spans="1:159" s="23" customFormat="1" x14ac:dyDescent="0.25">
      <c r="A605" s="23">
        <v>30</v>
      </c>
      <c r="B605" s="23" t="s">
        <v>545</v>
      </c>
      <c r="C605" s="23" t="s">
        <v>546</v>
      </c>
      <c r="D605" s="23">
        <v>2002</v>
      </c>
      <c r="E605" s="23">
        <v>1999</v>
      </c>
      <c r="F605" s="23" t="s">
        <v>547</v>
      </c>
      <c r="G605" s="23" t="s">
        <v>548</v>
      </c>
      <c r="H605" s="23">
        <f t="shared" si="204"/>
        <v>38.533333333333331</v>
      </c>
      <c r="I605" s="23">
        <f t="shared" si="205"/>
        <v>-121.78333333333333</v>
      </c>
      <c r="J605" s="23">
        <v>18.399999999999999</v>
      </c>
      <c r="N605" s="23">
        <v>483</v>
      </c>
      <c r="P605" s="53" t="s">
        <v>181</v>
      </c>
      <c r="Q605" s="53"/>
      <c r="R605" s="53">
        <v>36198</v>
      </c>
      <c r="S605" s="53" t="s">
        <v>1661</v>
      </c>
      <c r="T605" s="53" t="s">
        <v>1682</v>
      </c>
      <c r="V605" s="23">
        <v>36</v>
      </c>
      <c r="W605" s="23">
        <v>46</v>
      </c>
      <c r="X605" s="23" t="s">
        <v>175</v>
      </c>
      <c r="AB605" s="23" t="s">
        <v>1566</v>
      </c>
      <c r="AC605" s="23" t="s">
        <v>1817</v>
      </c>
      <c r="AD605" s="153" t="str">
        <f t="shared" si="203"/>
        <v>Common_Vetch</v>
      </c>
      <c r="AE605" s="23" t="s">
        <v>1635</v>
      </c>
      <c r="AG605" s="23" t="s">
        <v>549</v>
      </c>
      <c r="AH605" s="23" t="s">
        <v>549</v>
      </c>
      <c r="AI605" s="23" t="s">
        <v>230</v>
      </c>
      <c r="AM605" s="23" t="s">
        <v>443</v>
      </c>
      <c r="AN605" s="23" t="s">
        <v>551</v>
      </c>
      <c r="AO605" s="23" t="s">
        <v>618</v>
      </c>
      <c r="AP605" s="23" t="s">
        <v>154</v>
      </c>
      <c r="AQ605" s="23">
        <v>4</v>
      </c>
      <c r="AR605" s="23">
        <v>4</v>
      </c>
      <c r="AS605" s="23" t="s">
        <v>404</v>
      </c>
      <c r="AW605" s="64"/>
      <c r="CX605" s="23">
        <f>8.71/15.5*100</f>
        <v>56.193548387096783</v>
      </c>
      <c r="CY605" s="23">
        <f>0.67/15.5*100</f>
        <v>4.3225806451612909</v>
      </c>
      <c r="CZ605" s="23" t="s">
        <v>553</v>
      </c>
      <c r="DG605" s="23">
        <v>0.16980000000000001</v>
      </c>
      <c r="DH605" s="23">
        <v>0.13600000000000001</v>
      </c>
      <c r="DI605" s="23" t="s">
        <v>552</v>
      </c>
      <c r="DS605" s="12"/>
      <c r="DU605" s="15"/>
      <c r="FA605" s="23" t="s">
        <v>855</v>
      </c>
      <c r="FC605" s="23">
        <v>30</v>
      </c>
    </row>
    <row r="606" spans="1:159" s="23" customFormat="1" x14ac:dyDescent="0.25">
      <c r="A606" s="23">
        <v>30</v>
      </c>
      <c r="B606" s="23" t="s">
        <v>545</v>
      </c>
      <c r="C606" s="23" t="s">
        <v>546</v>
      </c>
      <c r="D606" s="23">
        <v>2002</v>
      </c>
      <c r="E606" s="23">
        <v>1999</v>
      </c>
      <c r="F606" s="23" t="s">
        <v>547</v>
      </c>
      <c r="G606" s="23" t="s">
        <v>548</v>
      </c>
      <c r="H606" s="23">
        <f t="shared" si="204"/>
        <v>38.533333333333331</v>
      </c>
      <c r="I606" s="23">
        <f t="shared" si="205"/>
        <v>-121.78333333333333</v>
      </c>
      <c r="J606" s="23">
        <v>18.399999999999999</v>
      </c>
      <c r="N606" s="23">
        <v>483</v>
      </c>
      <c r="P606" s="53" t="s">
        <v>181</v>
      </c>
      <c r="Q606" s="53"/>
      <c r="R606" s="53">
        <v>36232</v>
      </c>
      <c r="S606" s="53" t="s">
        <v>1661</v>
      </c>
      <c r="T606" s="53" t="s">
        <v>1682</v>
      </c>
      <c r="V606" s="23">
        <v>36</v>
      </c>
      <c r="W606" s="23">
        <v>46</v>
      </c>
      <c r="X606" s="23" t="s">
        <v>175</v>
      </c>
      <c r="AB606" s="23" t="s">
        <v>1566</v>
      </c>
      <c r="AC606" s="23" t="s">
        <v>1817</v>
      </c>
      <c r="AD606" s="153" t="str">
        <f t="shared" si="203"/>
        <v>Common_Vetch</v>
      </c>
      <c r="AE606" s="23" t="s">
        <v>1635</v>
      </c>
      <c r="AG606" s="23" t="s">
        <v>549</v>
      </c>
      <c r="AH606" s="23" t="s">
        <v>549</v>
      </c>
      <c r="AI606" s="23" t="s">
        <v>230</v>
      </c>
      <c r="AM606" s="23" t="s">
        <v>443</v>
      </c>
      <c r="AN606" s="23" t="s">
        <v>550</v>
      </c>
      <c r="AO606" s="23" t="s">
        <v>618</v>
      </c>
      <c r="AP606" s="23" t="s">
        <v>154</v>
      </c>
      <c r="AQ606" s="23">
        <v>4</v>
      </c>
      <c r="AR606" s="23">
        <v>4</v>
      </c>
      <c r="AS606" s="23" t="s">
        <v>404</v>
      </c>
      <c r="AW606" s="64"/>
      <c r="CX606" s="23">
        <f>101.24/232.3*100</f>
        <v>43.581575548859227</v>
      </c>
      <c r="CY606" s="23">
        <f>14.98/232.3*100</f>
        <v>6.4485578992681871</v>
      </c>
      <c r="CZ606" s="23" t="s">
        <v>553</v>
      </c>
      <c r="DG606" s="23">
        <v>0.18060000000000001</v>
      </c>
      <c r="DH606" s="23">
        <v>0.1696</v>
      </c>
      <c r="DI606" s="23" t="s">
        <v>552</v>
      </c>
      <c r="DS606" s="12"/>
      <c r="DU606" s="15"/>
      <c r="FA606" s="23" t="s">
        <v>855</v>
      </c>
      <c r="FC606" s="23">
        <v>30</v>
      </c>
    </row>
    <row r="607" spans="1:159" s="23" customFormat="1" x14ac:dyDescent="0.25">
      <c r="A607" s="23">
        <v>30</v>
      </c>
      <c r="B607" s="23" t="s">
        <v>545</v>
      </c>
      <c r="C607" s="23" t="s">
        <v>546</v>
      </c>
      <c r="D607" s="23">
        <v>2002</v>
      </c>
      <c r="E607" s="23">
        <v>1999</v>
      </c>
      <c r="F607" s="23" t="s">
        <v>547</v>
      </c>
      <c r="G607" s="23" t="s">
        <v>548</v>
      </c>
      <c r="H607" s="23">
        <f t="shared" si="204"/>
        <v>38.533333333333331</v>
      </c>
      <c r="I607" s="23">
        <f t="shared" si="205"/>
        <v>-121.78333333333333</v>
      </c>
      <c r="J607" s="23">
        <v>18.399999999999999</v>
      </c>
      <c r="N607" s="23">
        <v>483</v>
      </c>
      <c r="P607" s="53" t="s">
        <v>181</v>
      </c>
      <c r="Q607" s="53"/>
      <c r="R607" s="53">
        <v>36232</v>
      </c>
      <c r="S607" s="53" t="s">
        <v>1661</v>
      </c>
      <c r="T607" s="53" t="s">
        <v>1682</v>
      </c>
      <c r="V607" s="23">
        <v>36</v>
      </c>
      <c r="W607" s="23">
        <v>46</v>
      </c>
      <c r="X607" s="23" t="s">
        <v>175</v>
      </c>
      <c r="AB607" s="23" t="s">
        <v>1566</v>
      </c>
      <c r="AC607" s="23" t="s">
        <v>1817</v>
      </c>
      <c r="AD607" s="153" t="str">
        <f t="shared" si="203"/>
        <v>Common_Vetch</v>
      </c>
      <c r="AE607" s="23" t="s">
        <v>1635</v>
      </c>
      <c r="AG607" s="23" t="s">
        <v>549</v>
      </c>
      <c r="AH607" s="23" t="s">
        <v>549</v>
      </c>
      <c r="AI607" s="23" t="s">
        <v>230</v>
      </c>
      <c r="AM607" s="23" t="s">
        <v>443</v>
      </c>
      <c r="AN607" s="23" t="s">
        <v>551</v>
      </c>
      <c r="AO607" s="23" t="s">
        <v>618</v>
      </c>
      <c r="AP607" s="23" t="s">
        <v>154</v>
      </c>
      <c r="AQ607" s="23">
        <v>4</v>
      </c>
      <c r="AR607" s="23">
        <v>4</v>
      </c>
      <c r="AS607" s="23" t="s">
        <v>404</v>
      </c>
      <c r="AW607" s="64"/>
      <c r="CX607" s="23">
        <f>101.24/232.3*100</f>
        <v>43.581575548859227</v>
      </c>
      <c r="CY607" s="23">
        <f>15.92/232.3*100</f>
        <v>6.8532070598364179</v>
      </c>
      <c r="CZ607" s="23" t="s">
        <v>553</v>
      </c>
      <c r="DG607" s="23">
        <v>0.18060000000000001</v>
      </c>
      <c r="DH607" s="23">
        <v>0.1696</v>
      </c>
      <c r="DI607" s="23" t="s">
        <v>552</v>
      </c>
      <c r="DS607" s="12"/>
      <c r="DU607" s="15"/>
      <c r="FA607" s="23" t="s">
        <v>855</v>
      </c>
      <c r="FC607" s="23">
        <v>30</v>
      </c>
    </row>
    <row r="608" spans="1:159" s="23" customFormat="1" x14ac:dyDescent="0.25">
      <c r="A608" s="23">
        <v>30</v>
      </c>
      <c r="B608" s="23" t="s">
        <v>545</v>
      </c>
      <c r="C608" s="23" t="s">
        <v>546</v>
      </c>
      <c r="D608" s="23">
        <v>2002</v>
      </c>
      <c r="E608" s="23">
        <v>1999</v>
      </c>
      <c r="F608" s="23" t="s">
        <v>547</v>
      </c>
      <c r="G608" s="23" t="s">
        <v>548</v>
      </c>
      <c r="H608" s="23">
        <f t="shared" si="204"/>
        <v>38.533333333333331</v>
      </c>
      <c r="I608" s="23">
        <f t="shared" si="205"/>
        <v>-121.78333333333333</v>
      </c>
      <c r="J608" s="23">
        <v>18.399999999999999</v>
      </c>
      <c r="N608" s="23">
        <v>483</v>
      </c>
      <c r="P608" s="53" t="s">
        <v>181</v>
      </c>
      <c r="Q608" s="53"/>
      <c r="R608" s="53">
        <v>36234</v>
      </c>
      <c r="S608" s="53" t="s">
        <v>1661</v>
      </c>
      <c r="T608" s="53" t="s">
        <v>1682</v>
      </c>
      <c r="V608" s="23">
        <v>36</v>
      </c>
      <c r="W608" s="23">
        <v>46</v>
      </c>
      <c r="X608" s="23" t="s">
        <v>175</v>
      </c>
      <c r="AB608" s="23" t="s">
        <v>1566</v>
      </c>
      <c r="AC608" s="23" t="s">
        <v>1817</v>
      </c>
      <c r="AD608" s="153" t="str">
        <f t="shared" si="203"/>
        <v>Common_Vetch</v>
      </c>
      <c r="AE608" s="23" t="s">
        <v>1635</v>
      </c>
      <c r="AG608" s="23" t="s">
        <v>549</v>
      </c>
      <c r="AH608" s="23" t="s">
        <v>549</v>
      </c>
      <c r="AI608" s="23" t="s">
        <v>230</v>
      </c>
      <c r="AM608" s="23" t="s">
        <v>443</v>
      </c>
      <c r="AN608" s="23" t="s">
        <v>550</v>
      </c>
      <c r="AO608" s="23" t="s">
        <v>618</v>
      </c>
      <c r="AP608" s="23" t="s">
        <v>154</v>
      </c>
      <c r="AQ608" s="23">
        <v>4</v>
      </c>
      <c r="AR608" s="23">
        <v>4</v>
      </c>
      <c r="AS608" s="23" t="s">
        <v>404</v>
      </c>
      <c r="AW608" s="64"/>
      <c r="DG608" s="23">
        <v>0.18329999999999999</v>
      </c>
      <c r="DH608" s="23">
        <v>0.16689999999999999</v>
      </c>
      <c r="DI608" s="23" t="s">
        <v>552</v>
      </c>
      <c r="DS608" s="12"/>
      <c r="DU608" s="15"/>
      <c r="FA608" s="23" t="s">
        <v>855</v>
      </c>
      <c r="FC608" s="23">
        <v>30</v>
      </c>
    </row>
    <row r="609" spans="1:159" s="23" customFormat="1" x14ac:dyDescent="0.25">
      <c r="A609" s="23">
        <v>30</v>
      </c>
      <c r="B609" s="23" t="s">
        <v>545</v>
      </c>
      <c r="C609" s="23" t="s">
        <v>546</v>
      </c>
      <c r="D609" s="23">
        <v>2002</v>
      </c>
      <c r="E609" s="23">
        <v>1999</v>
      </c>
      <c r="F609" s="23" t="s">
        <v>547</v>
      </c>
      <c r="G609" s="23" t="s">
        <v>548</v>
      </c>
      <c r="H609" s="23">
        <f t="shared" si="204"/>
        <v>38.533333333333331</v>
      </c>
      <c r="I609" s="23">
        <f t="shared" si="205"/>
        <v>-121.78333333333333</v>
      </c>
      <c r="J609" s="23">
        <v>18.399999999999999</v>
      </c>
      <c r="N609" s="23">
        <v>483</v>
      </c>
      <c r="P609" s="53" t="s">
        <v>181</v>
      </c>
      <c r="Q609" s="53"/>
      <c r="R609" s="53">
        <v>36234</v>
      </c>
      <c r="S609" s="53" t="s">
        <v>1661</v>
      </c>
      <c r="T609" s="53" t="s">
        <v>1682</v>
      </c>
      <c r="V609" s="23">
        <v>36</v>
      </c>
      <c r="W609" s="23">
        <v>46</v>
      </c>
      <c r="X609" s="23" t="s">
        <v>175</v>
      </c>
      <c r="AB609" s="23" t="s">
        <v>1566</v>
      </c>
      <c r="AC609" s="23" t="s">
        <v>1817</v>
      </c>
      <c r="AD609" s="153" t="str">
        <f t="shared" si="203"/>
        <v>Common_Vetch</v>
      </c>
      <c r="AE609" s="23" t="s">
        <v>1635</v>
      </c>
      <c r="AG609" s="23" t="s">
        <v>549</v>
      </c>
      <c r="AH609" s="23" t="s">
        <v>549</v>
      </c>
      <c r="AI609" s="23" t="s">
        <v>230</v>
      </c>
      <c r="AM609" s="23" t="s">
        <v>443</v>
      </c>
      <c r="AN609" s="23" t="s">
        <v>551</v>
      </c>
      <c r="AO609" s="23" t="s">
        <v>618</v>
      </c>
      <c r="AP609" s="23" t="s">
        <v>154</v>
      </c>
      <c r="AQ609" s="23">
        <v>4</v>
      </c>
      <c r="AR609" s="23">
        <v>4</v>
      </c>
      <c r="AS609" s="23" t="s">
        <v>404</v>
      </c>
      <c r="AW609" s="64"/>
      <c r="DG609" s="23">
        <v>0.18329999999999999</v>
      </c>
      <c r="DH609" s="23">
        <v>0.16689999999999999</v>
      </c>
      <c r="DI609" s="23" t="s">
        <v>552</v>
      </c>
      <c r="DS609" s="12"/>
      <c r="DU609" s="15"/>
      <c r="FA609" s="23" t="s">
        <v>855</v>
      </c>
      <c r="FC609" s="23">
        <v>30</v>
      </c>
    </row>
    <row r="610" spans="1:159" s="23" customFormat="1" x14ac:dyDescent="0.25">
      <c r="A610" s="23">
        <v>30</v>
      </c>
      <c r="B610" s="23" t="s">
        <v>545</v>
      </c>
      <c r="C610" s="23" t="s">
        <v>546</v>
      </c>
      <c r="D610" s="23">
        <v>2002</v>
      </c>
      <c r="E610" s="23">
        <v>1999</v>
      </c>
      <c r="F610" s="23" t="s">
        <v>547</v>
      </c>
      <c r="G610" s="23" t="s">
        <v>548</v>
      </c>
      <c r="H610" s="23">
        <f t="shared" si="204"/>
        <v>38.533333333333331</v>
      </c>
      <c r="I610" s="23">
        <f t="shared" si="205"/>
        <v>-121.78333333333333</v>
      </c>
      <c r="J610" s="23">
        <v>18.399999999999999</v>
      </c>
      <c r="N610" s="23">
        <v>483</v>
      </c>
      <c r="P610" s="53" t="s">
        <v>181</v>
      </c>
      <c r="Q610" s="53"/>
      <c r="R610" s="53">
        <v>36514</v>
      </c>
      <c r="S610" s="53" t="s">
        <v>1661</v>
      </c>
      <c r="T610" s="53" t="s">
        <v>1682</v>
      </c>
      <c r="V610" s="23">
        <v>36</v>
      </c>
      <c r="W610" s="23">
        <v>46</v>
      </c>
      <c r="X610" s="23" t="s">
        <v>175</v>
      </c>
      <c r="AB610" s="23" t="s">
        <v>1566</v>
      </c>
      <c r="AC610" s="23" t="s">
        <v>1817</v>
      </c>
      <c r="AD610" s="153" t="str">
        <f t="shared" si="203"/>
        <v>Common_Vetch</v>
      </c>
      <c r="AE610" s="23" t="s">
        <v>1635</v>
      </c>
      <c r="AG610" s="23" t="s">
        <v>549</v>
      </c>
      <c r="AH610" s="23" t="s">
        <v>549</v>
      </c>
      <c r="AI610" s="23" t="s">
        <v>230</v>
      </c>
      <c r="AM610" s="23" t="s">
        <v>443</v>
      </c>
      <c r="AN610" s="23" t="s">
        <v>550</v>
      </c>
      <c r="AO610" s="23" t="s">
        <v>618</v>
      </c>
      <c r="AP610" s="23" t="s">
        <v>154</v>
      </c>
      <c r="AQ610" s="23">
        <v>4</v>
      </c>
      <c r="AR610" s="23">
        <v>4</v>
      </c>
      <c r="AS610" s="23" t="s">
        <v>404</v>
      </c>
      <c r="AW610" s="64"/>
      <c r="DG610" s="23">
        <v>0.10920000000000001</v>
      </c>
      <c r="DH610" s="23">
        <v>0.11459999999999999</v>
      </c>
      <c r="DI610" s="23" t="s">
        <v>552</v>
      </c>
      <c r="DS610" s="12"/>
      <c r="DU610" s="15"/>
      <c r="FA610" s="23" t="s">
        <v>855</v>
      </c>
      <c r="FC610" s="23">
        <v>30</v>
      </c>
    </row>
    <row r="611" spans="1:159" s="23" customFormat="1" x14ac:dyDescent="0.25">
      <c r="A611" s="23">
        <v>30</v>
      </c>
      <c r="B611" s="23" t="s">
        <v>545</v>
      </c>
      <c r="C611" s="23" t="s">
        <v>546</v>
      </c>
      <c r="D611" s="23">
        <v>2002</v>
      </c>
      <c r="E611" s="23">
        <v>1999</v>
      </c>
      <c r="F611" s="23" t="s">
        <v>547</v>
      </c>
      <c r="G611" s="23" t="s">
        <v>548</v>
      </c>
      <c r="H611" s="23">
        <f t="shared" si="204"/>
        <v>38.533333333333331</v>
      </c>
      <c r="I611" s="23">
        <f t="shared" si="205"/>
        <v>-121.78333333333333</v>
      </c>
      <c r="J611" s="23">
        <v>18.399999999999999</v>
      </c>
      <c r="N611" s="23">
        <v>483</v>
      </c>
      <c r="P611" s="53" t="s">
        <v>181</v>
      </c>
      <c r="Q611" s="53"/>
      <c r="R611" s="53">
        <v>36514</v>
      </c>
      <c r="S611" s="53" t="s">
        <v>1661</v>
      </c>
      <c r="T611" s="53" t="s">
        <v>1682</v>
      </c>
      <c r="V611" s="23">
        <v>36</v>
      </c>
      <c r="W611" s="23">
        <v>46</v>
      </c>
      <c r="X611" s="23" t="s">
        <v>175</v>
      </c>
      <c r="AB611" s="23" t="s">
        <v>1566</v>
      </c>
      <c r="AC611" s="23" t="s">
        <v>1817</v>
      </c>
      <c r="AD611" s="153" t="str">
        <f t="shared" si="203"/>
        <v>Common_Vetch</v>
      </c>
      <c r="AE611" s="23" t="s">
        <v>1635</v>
      </c>
      <c r="AG611" s="23" t="s">
        <v>549</v>
      </c>
      <c r="AH611" s="23" t="s">
        <v>549</v>
      </c>
      <c r="AI611" s="23" t="s">
        <v>230</v>
      </c>
      <c r="AM611" s="23" t="s">
        <v>443</v>
      </c>
      <c r="AN611" s="23" t="s">
        <v>551</v>
      </c>
      <c r="AO611" s="23" t="s">
        <v>618</v>
      </c>
      <c r="AP611" s="23" t="s">
        <v>154</v>
      </c>
      <c r="AQ611" s="23">
        <v>4</v>
      </c>
      <c r="AR611" s="23">
        <v>4</v>
      </c>
      <c r="AS611" s="23" t="s">
        <v>404</v>
      </c>
      <c r="AW611" s="64"/>
      <c r="DG611" s="23">
        <v>0.10920000000000001</v>
      </c>
      <c r="DH611" s="23">
        <v>0.1265</v>
      </c>
      <c r="DI611" s="23" t="s">
        <v>552</v>
      </c>
      <c r="DS611" s="12"/>
      <c r="DU611" s="15"/>
      <c r="FA611" s="23" t="s">
        <v>855</v>
      </c>
      <c r="FC611" s="23">
        <v>30</v>
      </c>
    </row>
    <row r="612" spans="1:159" s="23" customFormat="1" x14ac:dyDescent="0.25">
      <c r="A612" s="23">
        <v>30</v>
      </c>
      <c r="B612" s="23" t="s">
        <v>545</v>
      </c>
      <c r="C612" s="23" t="s">
        <v>546</v>
      </c>
      <c r="D612" s="23">
        <v>2002</v>
      </c>
      <c r="E612" s="23">
        <v>2000</v>
      </c>
      <c r="F612" s="23" t="s">
        <v>547</v>
      </c>
      <c r="G612" s="23" t="s">
        <v>548</v>
      </c>
      <c r="H612" s="23">
        <f t="shared" si="204"/>
        <v>38.533333333333331</v>
      </c>
      <c r="I612" s="23">
        <f t="shared" si="205"/>
        <v>-121.78333333333333</v>
      </c>
      <c r="J612" s="23">
        <v>18.399999999999999</v>
      </c>
      <c r="N612" s="23">
        <v>483</v>
      </c>
      <c r="P612" s="53" t="s">
        <v>182</v>
      </c>
      <c r="Q612" s="53"/>
      <c r="R612" s="53">
        <v>36535</v>
      </c>
      <c r="S612" s="53" t="s">
        <v>1661</v>
      </c>
      <c r="T612" s="53" t="s">
        <v>1682</v>
      </c>
      <c r="V612" s="23">
        <v>36</v>
      </c>
      <c r="W612" s="23">
        <v>46</v>
      </c>
      <c r="X612" s="23" t="s">
        <v>175</v>
      </c>
      <c r="AB612" s="23" t="s">
        <v>1566</v>
      </c>
      <c r="AC612" s="23" t="s">
        <v>1817</v>
      </c>
      <c r="AD612" s="153" t="str">
        <f t="shared" si="203"/>
        <v>Common_Vetch</v>
      </c>
      <c r="AE612" s="23" t="s">
        <v>1635</v>
      </c>
      <c r="AG612" s="23" t="s">
        <v>549</v>
      </c>
      <c r="AH612" s="23" t="s">
        <v>549</v>
      </c>
      <c r="AI612" s="23" t="s">
        <v>230</v>
      </c>
      <c r="AM612" s="23" t="s">
        <v>443</v>
      </c>
      <c r="AN612" s="23" t="s">
        <v>550</v>
      </c>
      <c r="AO612" s="23" t="s">
        <v>618</v>
      </c>
      <c r="AP612" s="23" t="s">
        <v>154</v>
      </c>
      <c r="AQ612" s="23">
        <v>4</v>
      </c>
      <c r="AR612" s="23">
        <v>4</v>
      </c>
      <c r="AS612" s="23" t="s">
        <v>404</v>
      </c>
      <c r="AW612" s="64"/>
      <c r="DG612" s="23">
        <v>0.10630000000000001</v>
      </c>
      <c r="DH612" s="23">
        <v>0.11360000000000001</v>
      </c>
      <c r="DI612" s="23" t="s">
        <v>552</v>
      </c>
      <c r="DS612" s="12"/>
      <c r="DU612" s="15"/>
      <c r="FA612" s="23" t="s">
        <v>855</v>
      </c>
      <c r="FC612" s="23">
        <v>30</v>
      </c>
    </row>
    <row r="613" spans="1:159" s="23" customFormat="1" x14ac:dyDescent="0.25">
      <c r="A613" s="23">
        <v>30</v>
      </c>
      <c r="B613" s="23" t="s">
        <v>545</v>
      </c>
      <c r="C613" s="23" t="s">
        <v>546</v>
      </c>
      <c r="D613" s="23">
        <v>2002</v>
      </c>
      <c r="E613" s="23">
        <v>2000</v>
      </c>
      <c r="F613" s="23" t="s">
        <v>547</v>
      </c>
      <c r="G613" s="23" t="s">
        <v>548</v>
      </c>
      <c r="H613" s="23">
        <f t="shared" si="204"/>
        <v>38.533333333333331</v>
      </c>
      <c r="I613" s="23">
        <f t="shared" si="205"/>
        <v>-121.78333333333333</v>
      </c>
      <c r="J613" s="23">
        <v>18.399999999999999</v>
      </c>
      <c r="N613" s="23">
        <v>483</v>
      </c>
      <c r="P613" s="53" t="s">
        <v>182</v>
      </c>
      <c r="Q613" s="53"/>
      <c r="R613" s="53">
        <v>36535</v>
      </c>
      <c r="S613" s="53" t="s">
        <v>1661</v>
      </c>
      <c r="T613" s="53" t="s">
        <v>1682</v>
      </c>
      <c r="V613" s="23">
        <v>36</v>
      </c>
      <c r="W613" s="23">
        <v>46</v>
      </c>
      <c r="X613" s="23" t="s">
        <v>175</v>
      </c>
      <c r="AB613" s="23" t="s">
        <v>1566</v>
      </c>
      <c r="AC613" s="23" t="s">
        <v>1817</v>
      </c>
      <c r="AD613" s="153" t="str">
        <f t="shared" si="203"/>
        <v>Common_Vetch</v>
      </c>
      <c r="AE613" s="23" t="s">
        <v>1635</v>
      </c>
      <c r="AG613" s="23" t="s">
        <v>549</v>
      </c>
      <c r="AH613" s="23" t="s">
        <v>549</v>
      </c>
      <c r="AI613" s="23" t="s">
        <v>230</v>
      </c>
      <c r="AM613" s="23" t="s">
        <v>443</v>
      </c>
      <c r="AN613" s="23" t="s">
        <v>551</v>
      </c>
      <c r="AO613" s="23" t="s">
        <v>618</v>
      </c>
      <c r="AP613" s="23" t="s">
        <v>154</v>
      </c>
      <c r="AQ613" s="23">
        <v>4</v>
      </c>
      <c r="AR613" s="23">
        <v>4</v>
      </c>
      <c r="AS613" s="23" t="s">
        <v>404</v>
      </c>
      <c r="AW613" s="64"/>
      <c r="DG613" s="23">
        <v>0.10630000000000001</v>
      </c>
      <c r="DH613" s="23">
        <v>0.1255</v>
      </c>
      <c r="DI613" s="23" t="s">
        <v>552</v>
      </c>
      <c r="DS613" s="12"/>
      <c r="DU613" s="15"/>
      <c r="FA613" s="23" t="s">
        <v>855</v>
      </c>
      <c r="FC613" s="23">
        <v>30</v>
      </c>
    </row>
    <row r="614" spans="1:159" s="23" customFormat="1" x14ac:dyDescent="0.25">
      <c r="A614" s="23">
        <v>30</v>
      </c>
      <c r="B614" s="23" t="s">
        <v>545</v>
      </c>
      <c r="C614" s="23" t="s">
        <v>546</v>
      </c>
      <c r="D614" s="23">
        <v>2002</v>
      </c>
      <c r="E614" s="23">
        <v>2000</v>
      </c>
      <c r="F614" s="23" t="s">
        <v>547</v>
      </c>
      <c r="G614" s="23" t="s">
        <v>548</v>
      </c>
      <c r="H614" s="23">
        <f t="shared" si="204"/>
        <v>38.533333333333331</v>
      </c>
      <c r="I614" s="23">
        <f t="shared" si="205"/>
        <v>-121.78333333333333</v>
      </c>
      <c r="J614" s="23">
        <v>18.399999999999999</v>
      </c>
      <c r="N614" s="23">
        <v>483</v>
      </c>
      <c r="P614" s="53" t="s">
        <v>182</v>
      </c>
      <c r="Q614" s="53"/>
      <c r="R614" s="53">
        <v>36541</v>
      </c>
      <c r="S614" s="53" t="s">
        <v>1661</v>
      </c>
      <c r="T614" s="53" t="s">
        <v>1682</v>
      </c>
      <c r="V614" s="23">
        <v>36</v>
      </c>
      <c r="W614" s="23">
        <v>46</v>
      </c>
      <c r="X614" s="23" t="s">
        <v>175</v>
      </c>
      <c r="AB614" s="23" t="s">
        <v>1566</v>
      </c>
      <c r="AC614" s="23" t="s">
        <v>1817</v>
      </c>
      <c r="AD614" s="153" t="str">
        <f t="shared" si="203"/>
        <v>Common_Vetch</v>
      </c>
      <c r="AE614" s="23" t="s">
        <v>1635</v>
      </c>
      <c r="AG614" s="23" t="s">
        <v>549</v>
      </c>
      <c r="AH614" s="23" t="s">
        <v>549</v>
      </c>
      <c r="AI614" s="23" t="s">
        <v>230</v>
      </c>
      <c r="AM614" s="23" t="s">
        <v>443</v>
      </c>
      <c r="AN614" s="23" t="s">
        <v>550</v>
      </c>
      <c r="AO614" s="23" t="s">
        <v>618</v>
      </c>
      <c r="AP614" s="23" t="s">
        <v>154</v>
      </c>
      <c r="AQ614" s="23">
        <v>4</v>
      </c>
      <c r="AR614" s="23">
        <v>4</v>
      </c>
      <c r="AS614" s="23" t="s">
        <v>404</v>
      </c>
      <c r="AW614" s="64"/>
      <c r="DG614" s="23">
        <v>0.1072</v>
      </c>
      <c r="DH614" s="23">
        <v>0.11360000000000001</v>
      </c>
      <c r="DI614" s="23" t="s">
        <v>552</v>
      </c>
      <c r="DS614" s="12"/>
      <c r="DU614" s="15"/>
      <c r="FA614" s="23" t="s">
        <v>855</v>
      </c>
      <c r="FC614" s="23">
        <v>30</v>
      </c>
    </row>
    <row r="615" spans="1:159" s="23" customFormat="1" x14ac:dyDescent="0.25">
      <c r="A615" s="23">
        <v>30</v>
      </c>
      <c r="B615" s="23" t="s">
        <v>545</v>
      </c>
      <c r="C615" s="23" t="s">
        <v>546</v>
      </c>
      <c r="D615" s="23">
        <v>2002</v>
      </c>
      <c r="E615" s="23">
        <v>2000</v>
      </c>
      <c r="F615" s="23" t="s">
        <v>547</v>
      </c>
      <c r="G615" s="23" t="s">
        <v>548</v>
      </c>
      <c r="H615" s="23">
        <f t="shared" si="204"/>
        <v>38.533333333333331</v>
      </c>
      <c r="I615" s="23">
        <f t="shared" si="205"/>
        <v>-121.78333333333333</v>
      </c>
      <c r="J615" s="23">
        <v>18.399999999999999</v>
      </c>
      <c r="N615" s="23">
        <v>483</v>
      </c>
      <c r="P615" s="53" t="s">
        <v>182</v>
      </c>
      <c r="Q615" s="53"/>
      <c r="R615" s="53">
        <v>36541</v>
      </c>
      <c r="S615" s="53" t="s">
        <v>1661</v>
      </c>
      <c r="T615" s="53" t="s">
        <v>1682</v>
      </c>
      <c r="V615" s="23">
        <v>36</v>
      </c>
      <c r="W615" s="23">
        <v>46</v>
      </c>
      <c r="X615" s="23" t="s">
        <v>175</v>
      </c>
      <c r="AB615" s="23" t="s">
        <v>1566</v>
      </c>
      <c r="AC615" s="23" t="s">
        <v>1817</v>
      </c>
      <c r="AD615" s="153" t="str">
        <f t="shared" si="203"/>
        <v>Common_Vetch</v>
      </c>
      <c r="AE615" s="23" t="s">
        <v>1635</v>
      </c>
      <c r="AG615" s="23" t="s">
        <v>549</v>
      </c>
      <c r="AH615" s="23" t="s">
        <v>549</v>
      </c>
      <c r="AI615" s="23" t="s">
        <v>230</v>
      </c>
      <c r="AM615" s="23" t="s">
        <v>443</v>
      </c>
      <c r="AN615" s="23" t="s">
        <v>551</v>
      </c>
      <c r="AO615" s="23" t="s">
        <v>618</v>
      </c>
      <c r="AP615" s="23" t="s">
        <v>154</v>
      </c>
      <c r="AQ615" s="23">
        <v>4</v>
      </c>
      <c r="AR615" s="23">
        <v>4</v>
      </c>
      <c r="AS615" s="23" t="s">
        <v>404</v>
      </c>
      <c r="AW615" s="64"/>
      <c r="DG615" s="23">
        <v>0.1072</v>
      </c>
      <c r="DH615" s="23">
        <v>0.12540000000000001</v>
      </c>
      <c r="DI615" s="23" t="s">
        <v>552</v>
      </c>
      <c r="DS615" s="12"/>
      <c r="DU615" s="15"/>
      <c r="FA615" s="23" t="s">
        <v>855</v>
      </c>
      <c r="FC615" s="23">
        <v>30</v>
      </c>
    </row>
    <row r="616" spans="1:159" s="23" customFormat="1" x14ac:dyDescent="0.25">
      <c r="A616" s="23">
        <v>30</v>
      </c>
      <c r="B616" s="23" t="s">
        <v>545</v>
      </c>
      <c r="C616" s="23" t="s">
        <v>546</v>
      </c>
      <c r="D616" s="23">
        <v>2002</v>
      </c>
      <c r="E616" s="23">
        <v>2000</v>
      </c>
      <c r="F616" s="23" t="s">
        <v>547</v>
      </c>
      <c r="G616" s="23" t="s">
        <v>548</v>
      </c>
      <c r="H616" s="23">
        <f t="shared" si="204"/>
        <v>38.533333333333331</v>
      </c>
      <c r="I616" s="23">
        <f t="shared" si="205"/>
        <v>-121.78333333333333</v>
      </c>
      <c r="J616" s="23">
        <v>18.399999999999999</v>
      </c>
      <c r="N616" s="23">
        <v>483</v>
      </c>
      <c r="P616" s="53" t="s">
        <v>182</v>
      </c>
      <c r="Q616" s="53"/>
      <c r="R616" s="53">
        <v>36549</v>
      </c>
      <c r="S616" s="53" t="s">
        <v>1661</v>
      </c>
      <c r="T616" s="53" t="s">
        <v>1682</v>
      </c>
      <c r="V616" s="23">
        <v>36</v>
      </c>
      <c r="W616" s="23">
        <v>46</v>
      </c>
      <c r="X616" s="23" t="s">
        <v>175</v>
      </c>
      <c r="AB616" s="23" t="s">
        <v>1566</v>
      </c>
      <c r="AC616" s="23" t="s">
        <v>1817</v>
      </c>
      <c r="AD616" s="153" t="str">
        <f t="shared" si="203"/>
        <v>Common_Vetch</v>
      </c>
      <c r="AE616" s="23" t="s">
        <v>1635</v>
      </c>
      <c r="AG616" s="23" t="s">
        <v>549</v>
      </c>
      <c r="AH616" s="23" t="s">
        <v>549</v>
      </c>
      <c r="AI616" s="23" t="s">
        <v>230</v>
      </c>
      <c r="AM616" s="23" t="s">
        <v>443</v>
      </c>
      <c r="AN616" s="23" t="s">
        <v>550</v>
      </c>
      <c r="AO616" s="23" t="s">
        <v>618</v>
      </c>
      <c r="AP616" s="23" t="s">
        <v>154</v>
      </c>
      <c r="AQ616" s="23">
        <v>4</v>
      </c>
      <c r="AR616" s="23">
        <v>4</v>
      </c>
      <c r="AS616" s="23" t="s">
        <v>404</v>
      </c>
      <c r="AW616" s="64"/>
      <c r="DG616" s="23">
        <v>0.1062</v>
      </c>
      <c r="DH616" s="23">
        <v>0.11360000000000001</v>
      </c>
      <c r="DI616" s="23" t="s">
        <v>552</v>
      </c>
      <c r="DS616" s="12"/>
      <c r="DU616" s="15"/>
      <c r="FA616" s="23" t="s">
        <v>855</v>
      </c>
      <c r="FC616" s="23">
        <v>30</v>
      </c>
    </row>
    <row r="617" spans="1:159" s="23" customFormat="1" x14ac:dyDescent="0.25">
      <c r="A617" s="23">
        <v>30</v>
      </c>
      <c r="B617" s="23" t="s">
        <v>545</v>
      </c>
      <c r="C617" s="23" t="s">
        <v>546</v>
      </c>
      <c r="D617" s="23">
        <v>2002</v>
      </c>
      <c r="E617" s="23">
        <v>2000</v>
      </c>
      <c r="F617" s="23" t="s">
        <v>547</v>
      </c>
      <c r="G617" s="23" t="s">
        <v>548</v>
      </c>
      <c r="H617" s="23">
        <f t="shared" si="204"/>
        <v>38.533333333333331</v>
      </c>
      <c r="I617" s="23">
        <f t="shared" si="205"/>
        <v>-121.78333333333333</v>
      </c>
      <c r="J617" s="23">
        <v>18.399999999999999</v>
      </c>
      <c r="N617" s="23">
        <v>483</v>
      </c>
      <c r="P617" s="53" t="s">
        <v>182</v>
      </c>
      <c r="Q617" s="53"/>
      <c r="R617" s="53">
        <v>36549</v>
      </c>
      <c r="S617" s="53" t="s">
        <v>1661</v>
      </c>
      <c r="T617" s="53" t="s">
        <v>1682</v>
      </c>
      <c r="V617" s="23">
        <v>36</v>
      </c>
      <c r="W617" s="23">
        <v>46</v>
      </c>
      <c r="X617" s="23" t="s">
        <v>175</v>
      </c>
      <c r="AB617" s="23" t="s">
        <v>1566</v>
      </c>
      <c r="AC617" s="23" t="s">
        <v>1817</v>
      </c>
      <c r="AD617" s="153" t="str">
        <f t="shared" si="203"/>
        <v>Common_Vetch</v>
      </c>
      <c r="AE617" s="23" t="s">
        <v>1635</v>
      </c>
      <c r="AG617" s="23" t="s">
        <v>549</v>
      </c>
      <c r="AH617" s="23" t="s">
        <v>549</v>
      </c>
      <c r="AI617" s="23" t="s">
        <v>230</v>
      </c>
      <c r="AM617" s="23" t="s">
        <v>443</v>
      </c>
      <c r="AN617" s="23" t="s">
        <v>551</v>
      </c>
      <c r="AO617" s="23" t="s">
        <v>618</v>
      </c>
      <c r="AP617" s="23" t="s">
        <v>154</v>
      </c>
      <c r="AQ617" s="23">
        <v>4</v>
      </c>
      <c r="AR617" s="23">
        <v>4</v>
      </c>
      <c r="AS617" s="23" t="s">
        <v>404</v>
      </c>
      <c r="AW617" s="64"/>
      <c r="DG617" s="23">
        <v>0.1062</v>
      </c>
      <c r="DH617" s="23">
        <v>0.12540000000000001</v>
      </c>
      <c r="DI617" s="23" t="s">
        <v>552</v>
      </c>
      <c r="DS617" s="12"/>
      <c r="DU617" s="15"/>
      <c r="FA617" s="23" t="s">
        <v>855</v>
      </c>
      <c r="FC617" s="23">
        <v>30</v>
      </c>
    </row>
    <row r="618" spans="1:159" s="23" customFormat="1" x14ac:dyDescent="0.25">
      <c r="A618" s="23">
        <v>30</v>
      </c>
      <c r="B618" s="23" t="s">
        <v>545</v>
      </c>
      <c r="C618" s="23" t="s">
        <v>546</v>
      </c>
      <c r="D618" s="23">
        <v>2002</v>
      </c>
      <c r="E618" s="23">
        <v>2000</v>
      </c>
      <c r="F618" s="23" t="s">
        <v>547</v>
      </c>
      <c r="G618" s="23" t="s">
        <v>548</v>
      </c>
      <c r="H618" s="23">
        <f t="shared" si="204"/>
        <v>38.533333333333331</v>
      </c>
      <c r="I618" s="23">
        <f t="shared" si="205"/>
        <v>-121.78333333333333</v>
      </c>
      <c r="J618" s="23">
        <v>18.399999999999999</v>
      </c>
      <c r="N618" s="23">
        <v>483</v>
      </c>
      <c r="P618" s="53" t="s">
        <v>182</v>
      </c>
      <c r="Q618" s="53"/>
      <c r="R618" s="53">
        <v>36562</v>
      </c>
      <c r="S618" s="53" t="s">
        <v>1661</v>
      </c>
      <c r="T618" s="53" t="s">
        <v>1682</v>
      </c>
      <c r="V618" s="23">
        <v>36</v>
      </c>
      <c r="W618" s="23">
        <v>46</v>
      </c>
      <c r="X618" s="23" t="s">
        <v>175</v>
      </c>
      <c r="AB618" s="23" t="s">
        <v>1566</v>
      </c>
      <c r="AC618" s="23" t="s">
        <v>1817</v>
      </c>
      <c r="AD618" s="153" t="str">
        <f t="shared" si="203"/>
        <v>Common_Vetch</v>
      </c>
      <c r="AE618" s="23" t="s">
        <v>1635</v>
      </c>
      <c r="AG618" s="23" t="s">
        <v>549</v>
      </c>
      <c r="AH618" s="23" t="s">
        <v>549</v>
      </c>
      <c r="AI618" s="23" t="s">
        <v>230</v>
      </c>
      <c r="AM618" s="23" t="s">
        <v>443</v>
      </c>
      <c r="AN618" s="23" t="s">
        <v>550</v>
      </c>
      <c r="AO618" s="23" t="s">
        <v>618</v>
      </c>
      <c r="AP618" s="23" t="s">
        <v>154</v>
      </c>
      <c r="AQ618" s="23">
        <v>4</v>
      </c>
      <c r="AR618" s="23">
        <v>4</v>
      </c>
      <c r="AS618" s="23" t="s">
        <v>404</v>
      </c>
      <c r="AW618" s="64"/>
      <c r="DG618" s="23">
        <v>0.13350000000000001</v>
      </c>
      <c r="DH618" s="23">
        <v>0.1472</v>
      </c>
      <c r="DI618" s="23" t="s">
        <v>552</v>
      </c>
      <c r="DS618" s="12"/>
      <c r="DU618" s="15"/>
      <c r="FA618" s="23" t="s">
        <v>855</v>
      </c>
      <c r="FC618" s="23">
        <v>30</v>
      </c>
    </row>
    <row r="619" spans="1:159" s="23" customFormat="1" x14ac:dyDescent="0.25">
      <c r="A619" s="23">
        <v>30</v>
      </c>
      <c r="B619" s="23" t="s">
        <v>545</v>
      </c>
      <c r="C619" s="23" t="s">
        <v>546</v>
      </c>
      <c r="D619" s="23">
        <v>2002</v>
      </c>
      <c r="E619" s="23">
        <v>2000</v>
      </c>
      <c r="F619" s="23" t="s">
        <v>547</v>
      </c>
      <c r="G619" s="23" t="s">
        <v>548</v>
      </c>
      <c r="H619" s="23">
        <f t="shared" si="204"/>
        <v>38.533333333333331</v>
      </c>
      <c r="I619" s="23">
        <f t="shared" si="205"/>
        <v>-121.78333333333333</v>
      </c>
      <c r="J619" s="23">
        <v>18.399999999999999</v>
      </c>
      <c r="N619" s="23">
        <v>483</v>
      </c>
      <c r="P619" s="53" t="s">
        <v>182</v>
      </c>
      <c r="Q619" s="53"/>
      <c r="R619" s="53">
        <v>36562</v>
      </c>
      <c r="S619" s="53" t="s">
        <v>1661</v>
      </c>
      <c r="T619" s="53" t="s">
        <v>1682</v>
      </c>
      <c r="V619" s="23">
        <v>36</v>
      </c>
      <c r="W619" s="23">
        <v>46</v>
      </c>
      <c r="X619" s="23" t="s">
        <v>175</v>
      </c>
      <c r="AB619" s="23" t="s">
        <v>1566</v>
      </c>
      <c r="AC619" s="23" t="s">
        <v>1817</v>
      </c>
      <c r="AD619" s="153" t="str">
        <f t="shared" si="203"/>
        <v>Common_Vetch</v>
      </c>
      <c r="AE619" s="23" t="s">
        <v>1635</v>
      </c>
      <c r="AG619" s="23" t="s">
        <v>549</v>
      </c>
      <c r="AH619" s="23" t="s">
        <v>549</v>
      </c>
      <c r="AI619" s="23" t="s">
        <v>230</v>
      </c>
      <c r="AM619" s="23" t="s">
        <v>443</v>
      </c>
      <c r="AN619" s="23" t="s">
        <v>551</v>
      </c>
      <c r="AO619" s="23" t="s">
        <v>618</v>
      </c>
      <c r="AP619" s="23" t="s">
        <v>154</v>
      </c>
      <c r="AQ619" s="23">
        <v>4</v>
      </c>
      <c r="AR619" s="23">
        <v>4</v>
      </c>
      <c r="AS619" s="23" t="s">
        <v>404</v>
      </c>
      <c r="AW619" s="64"/>
      <c r="DG619" s="23">
        <v>0.13350000000000001</v>
      </c>
      <c r="DH619" s="23">
        <v>0.1381</v>
      </c>
      <c r="DI619" s="23" t="s">
        <v>552</v>
      </c>
      <c r="DS619" s="12"/>
      <c r="DU619" s="15"/>
      <c r="FA619" s="23" t="s">
        <v>855</v>
      </c>
      <c r="FC619" s="23">
        <v>30</v>
      </c>
    </row>
    <row r="620" spans="1:159" s="23" customFormat="1" x14ac:dyDescent="0.25">
      <c r="A620" s="23">
        <v>30</v>
      </c>
      <c r="B620" s="23" t="s">
        <v>545</v>
      </c>
      <c r="C620" s="23" t="s">
        <v>546</v>
      </c>
      <c r="D620" s="23">
        <v>2002</v>
      </c>
      <c r="E620" s="23">
        <v>2000</v>
      </c>
      <c r="F620" s="23" t="s">
        <v>547</v>
      </c>
      <c r="G620" s="23" t="s">
        <v>548</v>
      </c>
      <c r="H620" s="23">
        <f t="shared" si="204"/>
        <v>38.533333333333331</v>
      </c>
      <c r="I620" s="23">
        <f t="shared" si="205"/>
        <v>-121.78333333333333</v>
      </c>
      <c r="J620" s="23">
        <v>18.399999999999999</v>
      </c>
      <c r="N620" s="23">
        <v>483</v>
      </c>
      <c r="P620" s="53" t="s">
        <v>182</v>
      </c>
      <c r="Q620" s="53"/>
      <c r="R620" s="53">
        <v>36566</v>
      </c>
      <c r="S620" s="53" t="s">
        <v>1661</v>
      </c>
      <c r="T620" s="53" t="s">
        <v>1682</v>
      </c>
      <c r="V620" s="23">
        <v>36</v>
      </c>
      <c r="W620" s="23">
        <v>46</v>
      </c>
      <c r="X620" s="23" t="s">
        <v>175</v>
      </c>
      <c r="AB620" s="23" t="s">
        <v>1566</v>
      </c>
      <c r="AC620" s="23" t="s">
        <v>1817</v>
      </c>
      <c r="AD620" s="153" t="str">
        <f t="shared" si="203"/>
        <v>Common_Vetch</v>
      </c>
      <c r="AE620" s="23" t="s">
        <v>1635</v>
      </c>
      <c r="AG620" s="23" t="s">
        <v>549</v>
      </c>
      <c r="AH620" s="23" t="s">
        <v>549</v>
      </c>
      <c r="AI620" s="23" t="s">
        <v>230</v>
      </c>
      <c r="AM620" s="23" t="s">
        <v>443</v>
      </c>
      <c r="AN620" s="23" t="s">
        <v>550</v>
      </c>
      <c r="AO620" s="23" t="s">
        <v>618</v>
      </c>
      <c r="AP620" s="23" t="s">
        <v>154</v>
      </c>
      <c r="AQ620" s="23">
        <v>4</v>
      </c>
      <c r="AR620" s="23">
        <v>4</v>
      </c>
      <c r="AS620" s="23" t="s">
        <v>404</v>
      </c>
      <c r="AW620" s="64"/>
      <c r="DG620" s="23">
        <v>0.1517</v>
      </c>
      <c r="DH620" s="23">
        <v>0.18179999999999999</v>
      </c>
      <c r="DI620" s="23" t="s">
        <v>552</v>
      </c>
      <c r="DS620" s="12"/>
      <c r="DU620" s="15"/>
      <c r="FA620" s="23" t="s">
        <v>855</v>
      </c>
      <c r="FC620" s="23">
        <v>30</v>
      </c>
    </row>
    <row r="621" spans="1:159" s="23" customFormat="1" x14ac:dyDescent="0.25">
      <c r="A621" s="23">
        <v>30</v>
      </c>
      <c r="B621" s="23" t="s">
        <v>545</v>
      </c>
      <c r="C621" s="23" t="s">
        <v>546</v>
      </c>
      <c r="D621" s="23">
        <v>2002</v>
      </c>
      <c r="E621" s="23">
        <v>2000</v>
      </c>
      <c r="F621" s="23" t="s">
        <v>547</v>
      </c>
      <c r="G621" s="23" t="s">
        <v>548</v>
      </c>
      <c r="H621" s="23">
        <f t="shared" si="204"/>
        <v>38.533333333333331</v>
      </c>
      <c r="I621" s="23">
        <f t="shared" si="205"/>
        <v>-121.78333333333333</v>
      </c>
      <c r="J621" s="23">
        <v>18.399999999999999</v>
      </c>
      <c r="N621" s="23">
        <v>483</v>
      </c>
      <c r="P621" s="53" t="s">
        <v>182</v>
      </c>
      <c r="Q621" s="53"/>
      <c r="R621" s="53">
        <v>36566</v>
      </c>
      <c r="S621" s="53" t="s">
        <v>1661</v>
      </c>
      <c r="T621" s="53" t="s">
        <v>1682</v>
      </c>
      <c r="V621" s="23">
        <v>36</v>
      </c>
      <c r="W621" s="23">
        <v>46</v>
      </c>
      <c r="X621" s="23" t="s">
        <v>175</v>
      </c>
      <c r="AB621" s="23" t="s">
        <v>1566</v>
      </c>
      <c r="AC621" s="23" t="s">
        <v>1817</v>
      </c>
      <c r="AD621" s="153" t="str">
        <f t="shared" si="203"/>
        <v>Common_Vetch</v>
      </c>
      <c r="AE621" s="23" t="s">
        <v>1635</v>
      </c>
      <c r="AG621" s="23" t="s">
        <v>549</v>
      </c>
      <c r="AH621" s="23" t="s">
        <v>549</v>
      </c>
      <c r="AI621" s="23" t="s">
        <v>230</v>
      </c>
      <c r="AM621" s="23" t="s">
        <v>443</v>
      </c>
      <c r="AN621" s="23" t="s">
        <v>551</v>
      </c>
      <c r="AO621" s="23" t="s">
        <v>618</v>
      </c>
      <c r="AP621" s="23" t="s">
        <v>154</v>
      </c>
      <c r="AQ621" s="23">
        <v>4</v>
      </c>
      <c r="AR621" s="23">
        <v>4</v>
      </c>
      <c r="AS621" s="23" t="s">
        <v>404</v>
      </c>
      <c r="AW621" s="64"/>
      <c r="DG621" s="23">
        <v>0.1517</v>
      </c>
      <c r="DH621" s="23">
        <v>0.18179999999999999</v>
      </c>
      <c r="DI621" s="23" t="s">
        <v>552</v>
      </c>
      <c r="DS621" s="12"/>
      <c r="DU621" s="15"/>
      <c r="FA621" s="23" t="s">
        <v>855</v>
      </c>
      <c r="FC621" s="23">
        <v>30</v>
      </c>
    </row>
    <row r="622" spans="1:159" s="23" customFormat="1" x14ac:dyDescent="0.25">
      <c r="A622" s="23">
        <v>30</v>
      </c>
      <c r="B622" s="23" t="s">
        <v>545</v>
      </c>
      <c r="C622" s="23" t="s">
        <v>546</v>
      </c>
      <c r="D622" s="23">
        <v>2002</v>
      </c>
      <c r="E622" s="23">
        <v>2000</v>
      </c>
      <c r="F622" s="23" t="s">
        <v>547</v>
      </c>
      <c r="G622" s="23" t="s">
        <v>548</v>
      </c>
      <c r="H622" s="23">
        <f t="shared" si="204"/>
        <v>38.533333333333331</v>
      </c>
      <c r="I622" s="23">
        <f t="shared" si="205"/>
        <v>-121.78333333333333</v>
      </c>
      <c r="J622" s="23">
        <v>18.399999999999999</v>
      </c>
      <c r="N622" s="23">
        <v>483</v>
      </c>
      <c r="P622" s="53" t="s">
        <v>182</v>
      </c>
      <c r="Q622" s="53"/>
      <c r="R622" s="53">
        <v>36572</v>
      </c>
      <c r="S622" s="53" t="s">
        <v>1661</v>
      </c>
      <c r="T622" s="53" t="s">
        <v>1682</v>
      </c>
      <c r="V622" s="23">
        <v>36</v>
      </c>
      <c r="W622" s="23">
        <v>46</v>
      </c>
      <c r="X622" s="23" t="s">
        <v>175</v>
      </c>
      <c r="AB622" s="23" t="s">
        <v>1566</v>
      </c>
      <c r="AC622" s="23" t="s">
        <v>1817</v>
      </c>
      <c r="AD622" s="153" t="str">
        <f t="shared" si="203"/>
        <v>Common_Vetch</v>
      </c>
      <c r="AE622" s="23" t="s">
        <v>1635</v>
      </c>
      <c r="AG622" s="23" t="s">
        <v>549</v>
      </c>
      <c r="AH622" s="23" t="s">
        <v>549</v>
      </c>
      <c r="AI622" s="23" t="s">
        <v>230</v>
      </c>
      <c r="AM622" s="23" t="s">
        <v>443</v>
      </c>
      <c r="AN622" s="23" t="s">
        <v>550</v>
      </c>
      <c r="AO622" s="23" t="s">
        <v>618</v>
      </c>
      <c r="AP622" s="23" t="s">
        <v>154</v>
      </c>
      <c r="AQ622" s="23">
        <v>4</v>
      </c>
      <c r="AR622" s="23">
        <v>4</v>
      </c>
      <c r="AS622" s="23" t="s">
        <v>404</v>
      </c>
      <c r="AW622" s="64"/>
      <c r="DG622" s="23">
        <v>0.1925</v>
      </c>
      <c r="DH622" s="23">
        <v>0.22900000000000001</v>
      </c>
      <c r="DI622" s="23" t="s">
        <v>552</v>
      </c>
      <c r="DS622" s="12"/>
      <c r="DU622" s="15"/>
      <c r="FA622" s="23" t="s">
        <v>855</v>
      </c>
      <c r="FC622" s="23">
        <v>30</v>
      </c>
    </row>
    <row r="623" spans="1:159" s="23" customFormat="1" x14ac:dyDescent="0.25">
      <c r="A623" s="23">
        <v>30</v>
      </c>
      <c r="B623" s="23" t="s">
        <v>545</v>
      </c>
      <c r="C623" s="23" t="s">
        <v>546</v>
      </c>
      <c r="D623" s="23">
        <v>2002</v>
      </c>
      <c r="E623" s="23">
        <v>2000</v>
      </c>
      <c r="F623" s="23" t="s">
        <v>547</v>
      </c>
      <c r="G623" s="23" t="s">
        <v>548</v>
      </c>
      <c r="H623" s="23">
        <f t="shared" si="204"/>
        <v>38.533333333333331</v>
      </c>
      <c r="I623" s="23">
        <f t="shared" si="205"/>
        <v>-121.78333333333333</v>
      </c>
      <c r="J623" s="23">
        <v>18.399999999999999</v>
      </c>
      <c r="N623" s="23">
        <v>483</v>
      </c>
      <c r="P623" s="53" t="s">
        <v>182</v>
      </c>
      <c r="Q623" s="53"/>
      <c r="R623" s="53">
        <v>36572</v>
      </c>
      <c r="S623" s="53" t="s">
        <v>1661</v>
      </c>
      <c r="T623" s="53" t="s">
        <v>1682</v>
      </c>
      <c r="V623" s="23">
        <v>36</v>
      </c>
      <c r="W623" s="23">
        <v>46</v>
      </c>
      <c r="X623" s="23" t="s">
        <v>175</v>
      </c>
      <c r="AB623" s="23" t="s">
        <v>1566</v>
      </c>
      <c r="AC623" s="23" t="s">
        <v>1817</v>
      </c>
      <c r="AD623" s="153" t="str">
        <f t="shared" si="203"/>
        <v>Common_Vetch</v>
      </c>
      <c r="AE623" s="23" t="s">
        <v>1635</v>
      </c>
      <c r="AG623" s="23" t="s">
        <v>549</v>
      </c>
      <c r="AH623" s="23" t="s">
        <v>549</v>
      </c>
      <c r="AI623" s="23" t="s">
        <v>230</v>
      </c>
      <c r="AM623" s="23" t="s">
        <v>443</v>
      </c>
      <c r="AN623" s="23" t="s">
        <v>551</v>
      </c>
      <c r="AO623" s="23" t="s">
        <v>618</v>
      </c>
      <c r="AP623" s="23" t="s">
        <v>154</v>
      </c>
      <c r="AQ623" s="23">
        <v>4</v>
      </c>
      <c r="AR623" s="23">
        <v>4</v>
      </c>
      <c r="AS623" s="23" t="s">
        <v>404</v>
      </c>
      <c r="AW623" s="64"/>
      <c r="DG623" s="23">
        <v>0.1925</v>
      </c>
      <c r="DH623" s="23">
        <v>0.24629999999999999</v>
      </c>
      <c r="DI623" s="23" t="s">
        <v>552</v>
      </c>
      <c r="DS623" s="12"/>
      <c r="DU623" s="15"/>
      <c r="FA623" s="23" t="s">
        <v>855</v>
      </c>
      <c r="FC623" s="23">
        <v>30</v>
      </c>
    </row>
    <row r="624" spans="1:159" s="23" customFormat="1" x14ac:dyDescent="0.25">
      <c r="A624" s="23">
        <v>30</v>
      </c>
      <c r="B624" s="23" t="s">
        <v>545</v>
      </c>
      <c r="C624" s="23" t="s">
        <v>546</v>
      </c>
      <c r="D624" s="23">
        <v>2002</v>
      </c>
      <c r="E624" s="23">
        <v>2000</v>
      </c>
      <c r="F624" s="23" t="s">
        <v>547</v>
      </c>
      <c r="G624" s="23" t="s">
        <v>548</v>
      </c>
      <c r="H624" s="23">
        <f t="shared" si="204"/>
        <v>38.533333333333331</v>
      </c>
      <c r="I624" s="23">
        <f t="shared" si="205"/>
        <v>-121.78333333333333</v>
      </c>
      <c r="J624" s="23">
        <v>18.399999999999999</v>
      </c>
      <c r="N624" s="23">
        <v>483</v>
      </c>
      <c r="P624" s="53" t="s">
        <v>182</v>
      </c>
      <c r="Q624" s="53"/>
      <c r="R624" s="53">
        <v>36582</v>
      </c>
      <c r="S624" s="53" t="s">
        <v>1661</v>
      </c>
      <c r="T624" s="53" t="s">
        <v>1682</v>
      </c>
      <c r="V624" s="23">
        <v>36</v>
      </c>
      <c r="W624" s="23">
        <v>46</v>
      </c>
      <c r="X624" s="23" t="s">
        <v>175</v>
      </c>
      <c r="AB624" s="23" t="s">
        <v>1566</v>
      </c>
      <c r="AC624" s="23" t="s">
        <v>1817</v>
      </c>
      <c r="AD624" s="153" t="str">
        <f t="shared" si="203"/>
        <v>Common_Vetch</v>
      </c>
      <c r="AE624" s="23" t="s">
        <v>1635</v>
      </c>
      <c r="AG624" s="23" t="s">
        <v>549</v>
      </c>
      <c r="AH624" s="23" t="s">
        <v>549</v>
      </c>
      <c r="AI624" s="23" t="s">
        <v>230</v>
      </c>
      <c r="AM624" s="23" t="s">
        <v>443</v>
      </c>
      <c r="AN624" s="23" t="s">
        <v>550</v>
      </c>
      <c r="AO624" s="23" t="s">
        <v>618</v>
      </c>
      <c r="AP624" s="23" t="s">
        <v>154</v>
      </c>
      <c r="AQ624" s="23">
        <v>4</v>
      </c>
      <c r="AR624" s="23">
        <v>4</v>
      </c>
      <c r="AS624" s="23" t="s">
        <v>404</v>
      </c>
      <c r="AW624" s="64"/>
      <c r="DG624" s="23">
        <v>0.19980000000000001</v>
      </c>
      <c r="DH624" s="23">
        <v>0.24540000000000001</v>
      </c>
      <c r="DI624" s="23" t="s">
        <v>552</v>
      </c>
      <c r="DS624" s="12"/>
      <c r="DU624" s="15"/>
      <c r="FA624" s="23" t="s">
        <v>855</v>
      </c>
      <c r="FC624" s="23">
        <v>30</v>
      </c>
    </row>
    <row r="625" spans="1:159" s="23" customFormat="1" x14ac:dyDescent="0.25">
      <c r="A625" s="23">
        <v>30</v>
      </c>
      <c r="B625" s="23" t="s">
        <v>545</v>
      </c>
      <c r="C625" s="23" t="s">
        <v>546</v>
      </c>
      <c r="D625" s="23">
        <v>2002</v>
      </c>
      <c r="E625" s="23">
        <v>2000</v>
      </c>
      <c r="F625" s="23" t="s">
        <v>547</v>
      </c>
      <c r="G625" s="23" t="s">
        <v>548</v>
      </c>
      <c r="H625" s="23">
        <f t="shared" si="204"/>
        <v>38.533333333333331</v>
      </c>
      <c r="I625" s="23">
        <f t="shared" si="205"/>
        <v>-121.78333333333333</v>
      </c>
      <c r="J625" s="23">
        <v>18.399999999999999</v>
      </c>
      <c r="N625" s="23">
        <v>483</v>
      </c>
      <c r="P625" s="53" t="s">
        <v>182</v>
      </c>
      <c r="Q625" s="53"/>
      <c r="R625" s="53">
        <v>36582</v>
      </c>
      <c r="S625" s="53" t="s">
        <v>1661</v>
      </c>
      <c r="T625" s="53" t="s">
        <v>1682</v>
      </c>
      <c r="V625" s="23">
        <v>36</v>
      </c>
      <c r="W625" s="23">
        <v>46</v>
      </c>
      <c r="X625" s="23" t="s">
        <v>175</v>
      </c>
      <c r="AB625" s="23" t="s">
        <v>1566</v>
      </c>
      <c r="AC625" s="23" t="s">
        <v>1817</v>
      </c>
      <c r="AD625" s="153" t="str">
        <f t="shared" si="203"/>
        <v>Common_Vetch</v>
      </c>
      <c r="AE625" s="23" t="s">
        <v>1635</v>
      </c>
      <c r="AG625" s="23" t="s">
        <v>549</v>
      </c>
      <c r="AH625" s="23" t="s">
        <v>549</v>
      </c>
      <c r="AI625" s="23" t="s">
        <v>230</v>
      </c>
      <c r="AM625" s="23" t="s">
        <v>443</v>
      </c>
      <c r="AN625" s="23" t="s">
        <v>551</v>
      </c>
      <c r="AO625" s="23" t="s">
        <v>618</v>
      </c>
      <c r="AP625" s="23" t="s">
        <v>154</v>
      </c>
      <c r="AQ625" s="23">
        <v>4</v>
      </c>
      <c r="AR625" s="23">
        <v>4</v>
      </c>
      <c r="AS625" s="23" t="s">
        <v>404</v>
      </c>
      <c r="AW625" s="64"/>
      <c r="DG625" s="23">
        <v>0.19980000000000001</v>
      </c>
      <c r="DH625" s="23">
        <v>0.25359999999999999</v>
      </c>
      <c r="DI625" s="23" t="s">
        <v>552</v>
      </c>
      <c r="DS625" s="12"/>
      <c r="DU625" s="15"/>
      <c r="FA625" s="23" t="s">
        <v>855</v>
      </c>
      <c r="FC625" s="23">
        <v>30</v>
      </c>
    </row>
    <row r="626" spans="1:159" s="23" customFormat="1" x14ac:dyDescent="0.25">
      <c r="A626" s="23">
        <v>30</v>
      </c>
      <c r="B626" s="23" t="s">
        <v>545</v>
      </c>
      <c r="C626" s="23" t="s">
        <v>546</v>
      </c>
      <c r="D626" s="23">
        <v>2002</v>
      </c>
      <c r="E626" s="23">
        <v>2000</v>
      </c>
      <c r="F626" s="23" t="s">
        <v>547</v>
      </c>
      <c r="G626" s="23" t="s">
        <v>548</v>
      </c>
      <c r="H626" s="23">
        <f t="shared" si="204"/>
        <v>38.533333333333331</v>
      </c>
      <c r="I626" s="23">
        <f t="shared" si="205"/>
        <v>-121.78333333333333</v>
      </c>
      <c r="J626" s="23">
        <v>18.399999999999999</v>
      </c>
      <c r="N626" s="23">
        <v>483</v>
      </c>
      <c r="P626" s="53" t="s">
        <v>182</v>
      </c>
      <c r="Q626" s="53"/>
      <c r="R626" s="53">
        <v>36587</v>
      </c>
      <c r="S626" s="53" t="s">
        <v>1661</v>
      </c>
      <c r="T626" s="53" t="s">
        <v>1682</v>
      </c>
      <c r="V626" s="23">
        <v>36</v>
      </c>
      <c r="W626" s="23">
        <v>46</v>
      </c>
      <c r="X626" s="23" t="s">
        <v>175</v>
      </c>
      <c r="AB626" s="23" t="s">
        <v>1566</v>
      </c>
      <c r="AC626" s="23" t="s">
        <v>1817</v>
      </c>
      <c r="AD626" s="153" t="str">
        <f t="shared" si="203"/>
        <v>Common_Vetch</v>
      </c>
      <c r="AE626" s="23" t="s">
        <v>1635</v>
      </c>
      <c r="AG626" s="23" t="s">
        <v>549</v>
      </c>
      <c r="AH626" s="23" t="s">
        <v>549</v>
      </c>
      <c r="AI626" s="23" t="s">
        <v>230</v>
      </c>
      <c r="AM626" s="23" t="s">
        <v>443</v>
      </c>
      <c r="AN626" s="23" t="s">
        <v>550</v>
      </c>
      <c r="AO626" s="23" t="s">
        <v>618</v>
      </c>
      <c r="AP626" s="23" t="s">
        <v>154</v>
      </c>
      <c r="AQ626" s="23">
        <v>4</v>
      </c>
      <c r="AR626" s="23">
        <v>4</v>
      </c>
      <c r="AS626" s="23" t="s">
        <v>404</v>
      </c>
      <c r="AW626" s="64"/>
      <c r="DG626" s="23">
        <v>0.2006</v>
      </c>
      <c r="DH626" s="23">
        <v>0.2389</v>
      </c>
      <c r="DI626" s="23" t="s">
        <v>552</v>
      </c>
      <c r="DS626" s="12"/>
      <c r="DU626" s="15"/>
      <c r="FA626" s="23" t="s">
        <v>855</v>
      </c>
      <c r="FC626" s="23">
        <v>30</v>
      </c>
    </row>
    <row r="627" spans="1:159" s="23" customFormat="1" x14ac:dyDescent="0.25">
      <c r="A627" s="23">
        <v>30</v>
      </c>
      <c r="B627" s="23" t="s">
        <v>545</v>
      </c>
      <c r="C627" s="23" t="s">
        <v>546</v>
      </c>
      <c r="D627" s="23">
        <v>2002</v>
      </c>
      <c r="E627" s="23">
        <v>2000</v>
      </c>
      <c r="F627" s="23" t="s">
        <v>547</v>
      </c>
      <c r="G627" s="23" t="s">
        <v>548</v>
      </c>
      <c r="H627" s="23">
        <f t="shared" si="204"/>
        <v>38.533333333333331</v>
      </c>
      <c r="I627" s="23">
        <f t="shared" si="205"/>
        <v>-121.78333333333333</v>
      </c>
      <c r="J627" s="23">
        <v>18.399999999999999</v>
      </c>
      <c r="N627" s="23">
        <v>483</v>
      </c>
      <c r="P627" s="53" t="s">
        <v>182</v>
      </c>
      <c r="Q627" s="53"/>
      <c r="R627" s="53">
        <v>36587</v>
      </c>
      <c r="S627" s="53" t="s">
        <v>1661</v>
      </c>
      <c r="T627" s="53" t="s">
        <v>1682</v>
      </c>
      <c r="V627" s="23">
        <v>36</v>
      </c>
      <c r="W627" s="23">
        <v>46</v>
      </c>
      <c r="X627" s="23" t="s">
        <v>175</v>
      </c>
      <c r="AB627" s="23" t="s">
        <v>1566</v>
      </c>
      <c r="AC627" s="23" t="s">
        <v>1817</v>
      </c>
      <c r="AD627" s="153" t="str">
        <f t="shared" si="203"/>
        <v>Common_Vetch</v>
      </c>
      <c r="AE627" s="23" t="s">
        <v>1635</v>
      </c>
      <c r="AG627" s="23" t="s">
        <v>549</v>
      </c>
      <c r="AH627" s="23" t="s">
        <v>549</v>
      </c>
      <c r="AI627" s="23" t="s">
        <v>230</v>
      </c>
      <c r="AM627" s="23" t="s">
        <v>443</v>
      </c>
      <c r="AN627" s="23" t="s">
        <v>551</v>
      </c>
      <c r="AO627" s="23" t="s">
        <v>618</v>
      </c>
      <c r="AP627" s="23" t="s">
        <v>154</v>
      </c>
      <c r="AQ627" s="23">
        <v>4</v>
      </c>
      <c r="AR627" s="23">
        <v>4</v>
      </c>
      <c r="AS627" s="23" t="s">
        <v>404</v>
      </c>
      <c r="AW627" s="64"/>
      <c r="DG627" s="23">
        <v>0.2006</v>
      </c>
      <c r="DH627" s="23">
        <v>0.25169999999999998</v>
      </c>
      <c r="DI627" s="23" t="s">
        <v>552</v>
      </c>
      <c r="DS627" s="12"/>
      <c r="DU627" s="15"/>
      <c r="FA627" s="23" t="s">
        <v>855</v>
      </c>
      <c r="FC627" s="23">
        <v>30</v>
      </c>
    </row>
    <row r="628" spans="1:159" s="23" customFormat="1" x14ac:dyDescent="0.25">
      <c r="A628" s="23">
        <v>30</v>
      </c>
      <c r="B628" s="23" t="s">
        <v>545</v>
      </c>
      <c r="C628" s="23" t="s">
        <v>546</v>
      </c>
      <c r="D628" s="23">
        <v>2002</v>
      </c>
      <c r="E628" s="23">
        <v>2000</v>
      </c>
      <c r="F628" s="23" t="s">
        <v>547</v>
      </c>
      <c r="G628" s="23" t="s">
        <v>548</v>
      </c>
      <c r="H628" s="23">
        <f t="shared" si="204"/>
        <v>38.533333333333331</v>
      </c>
      <c r="I628" s="23">
        <f t="shared" si="205"/>
        <v>-121.78333333333333</v>
      </c>
      <c r="J628" s="23">
        <v>18.399999999999999</v>
      </c>
      <c r="N628" s="23">
        <v>483</v>
      </c>
      <c r="P628" s="53" t="s">
        <v>182</v>
      </c>
      <c r="Q628" s="53"/>
      <c r="R628" s="53">
        <v>36598</v>
      </c>
      <c r="S628" s="53" t="s">
        <v>1661</v>
      </c>
      <c r="T628" s="53" t="s">
        <v>1682</v>
      </c>
      <c r="V628" s="23">
        <v>36</v>
      </c>
      <c r="W628" s="23">
        <v>46</v>
      </c>
      <c r="X628" s="23" t="s">
        <v>175</v>
      </c>
      <c r="AB628" s="23" t="s">
        <v>1566</v>
      </c>
      <c r="AC628" s="23" t="s">
        <v>1817</v>
      </c>
      <c r="AD628" s="153" t="str">
        <f t="shared" si="203"/>
        <v>Common_Vetch</v>
      </c>
      <c r="AE628" s="23" t="s">
        <v>1635</v>
      </c>
      <c r="AG628" s="23" t="s">
        <v>549</v>
      </c>
      <c r="AH628" s="23" t="s">
        <v>549</v>
      </c>
      <c r="AI628" s="23" t="s">
        <v>230</v>
      </c>
      <c r="AM628" s="23" t="s">
        <v>443</v>
      </c>
      <c r="AN628" s="23" t="s">
        <v>550</v>
      </c>
      <c r="AO628" s="23" t="s">
        <v>618</v>
      </c>
      <c r="AP628" s="23" t="s">
        <v>154</v>
      </c>
      <c r="AQ628" s="23">
        <v>4</v>
      </c>
      <c r="AR628" s="23">
        <v>4</v>
      </c>
      <c r="AS628" s="23" t="s">
        <v>404</v>
      </c>
      <c r="AW628" s="64"/>
      <c r="DG628" s="23">
        <v>0.1988</v>
      </c>
      <c r="DH628" s="23">
        <v>0.2334</v>
      </c>
      <c r="DI628" s="23" t="s">
        <v>552</v>
      </c>
      <c r="DS628" s="12"/>
      <c r="DU628" s="15"/>
      <c r="FA628" s="23" t="s">
        <v>855</v>
      </c>
      <c r="FC628" s="23">
        <v>30</v>
      </c>
    </row>
    <row r="629" spans="1:159" s="23" customFormat="1" x14ac:dyDescent="0.25">
      <c r="A629" s="23">
        <v>30</v>
      </c>
      <c r="B629" s="23" t="s">
        <v>545</v>
      </c>
      <c r="C629" s="23" t="s">
        <v>546</v>
      </c>
      <c r="D629" s="23">
        <v>2002</v>
      </c>
      <c r="E629" s="23">
        <v>2000</v>
      </c>
      <c r="F629" s="23" t="s">
        <v>547</v>
      </c>
      <c r="G629" s="23" t="s">
        <v>548</v>
      </c>
      <c r="H629" s="23">
        <f t="shared" si="204"/>
        <v>38.533333333333331</v>
      </c>
      <c r="I629" s="23">
        <f t="shared" si="205"/>
        <v>-121.78333333333333</v>
      </c>
      <c r="J629" s="23">
        <v>18.399999999999999</v>
      </c>
      <c r="N629" s="23">
        <v>483</v>
      </c>
      <c r="P629" s="53" t="s">
        <v>182</v>
      </c>
      <c r="Q629" s="53"/>
      <c r="R629" s="53">
        <v>36598</v>
      </c>
      <c r="S629" s="53" t="s">
        <v>1661</v>
      </c>
      <c r="T629" s="53" t="s">
        <v>1682</v>
      </c>
      <c r="V629" s="23">
        <v>36</v>
      </c>
      <c r="W629" s="23">
        <v>46</v>
      </c>
      <c r="X629" s="23" t="s">
        <v>175</v>
      </c>
      <c r="AB629" s="23" t="s">
        <v>1566</v>
      </c>
      <c r="AC629" s="23" t="s">
        <v>1817</v>
      </c>
      <c r="AD629" s="153" t="str">
        <f t="shared" si="203"/>
        <v>Common_Vetch</v>
      </c>
      <c r="AE629" s="23" t="s">
        <v>1635</v>
      </c>
      <c r="AG629" s="23" t="s">
        <v>549</v>
      </c>
      <c r="AH629" s="23" t="s">
        <v>549</v>
      </c>
      <c r="AI629" s="23" t="s">
        <v>230</v>
      </c>
      <c r="AM629" s="23" t="s">
        <v>443</v>
      </c>
      <c r="AN629" s="23" t="s">
        <v>551</v>
      </c>
      <c r="AO629" s="23" t="s">
        <v>618</v>
      </c>
      <c r="AP629" s="23" t="s">
        <v>154</v>
      </c>
      <c r="AQ629" s="23">
        <v>4</v>
      </c>
      <c r="AR629" s="23">
        <v>4</v>
      </c>
      <c r="AS629" s="23" t="s">
        <v>404</v>
      </c>
      <c r="AW629" s="64"/>
      <c r="DG629" s="23">
        <v>0.1988</v>
      </c>
      <c r="DH629" s="23">
        <v>0.24709999999999999</v>
      </c>
      <c r="DI629" s="23" t="s">
        <v>552</v>
      </c>
      <c r="DS629" s="12"/>
      <c r="DU629" s="15"/>
      <c r="FA629" s="23" t="s">
        <v>855</v>
      </c>
      <c r="FC629" s="23">
        <v>30</v>
      </c>
    </row>
    <row r="630" spans="1:159" s="38" customFormat="1" x14ac:dyDescent="0.25">
      <c r="A630" s="38">
        <v>30</v>
      </c>
      <c r="B630" s="38" t="s">
        <v>545</v>
      </c>
      <c r="C630" s="38" t="s">
        <v>546</v>
      </c>
      <c r="D630" s="38">
        <v>2002</v>
      </c>
      <c r="E630" s="38">
        <v>1998</v>
      </c>
      <c r="F630" s="38" t="s">
        <v>547</v>
      </c>
      <c r="G630" s="38" t="s">
        <v>548</v>
      </c>
      <c r="H630" s="38">
        <f t="shared" ref="H630:H661" si="206">38+32/60</f>
        <v>38.533333333333331</v>
      </c>
      <c r="I630" s="38">
        <f t="shared" ref="I630:I661" si="207">-121-47/60</f>
        <v>-121.78333333333333</v>
      </c>
      <c r="J630" s="38">
        <v>18.399999999999999</v>
      </c>
      <c r="N630" s="38">
        <v>483</v>
      </c>
      <c r="P630" s="57" t="s">
        <v>180</v>
      </c>
      <c r="Q630" s="57"/>
      <c r="R630" s="57">
        <v>36145</v>
      </c>
      <c r="S630" s="57" t="s">
        <v>1662</v>
      </c>
      <c r="T630" s="57" t="s">
        <v>1682</v>
      </c>
      <c r="V630" s="38">
        <v>36</v>
      </c>
      <c r="W630" s="38">
        <v>46</v>
      </c>
      <c r="X630" s="38" t="s">
        <v>175</v>
      </c>
      <c r="AB630" s="38" t="s">
        <v>1566</v>
      </c>
      <c r="AC630" s="38" t="s">
        <v>1817</v>
      </c>
      <c r="AD630" s="153" t="str">
        <f t="shared" si="203"/>
        <v>Common_Vetch</v>
      </c>
      <c r="AE630" s="38" t="s">
        <v>1635</v>
      </c>
      <c r="AG630" s="38" t="s">
        <v>549</v>
      </c>
      <c r="AH630" s="38" t="s">
        <v>549</v>
      </c>
      <c r="AI630" s="38" t="s">
        <v>230</v>
      </c>
      <c r="AM630" s="38" t="s">
        <v>443</v>
      </c>
      <c r="AN630" s="38" t="s">
        <v>550</v>
      </c>
      <c r="AO630" s="38" t="s">
        <v>618</v>
      </c>
      <c r="AP630" s="38" t="s">
        <v>154</v>
      </c>
      <c r="AQ630" s="38">
        <v>4</v>
      </c>
      <c r="AR630" s="38">
        <v>4</v>
      </c>
      <c r="AS630" s="38" t="s">
        <v>404</v>
      </c>
      <c r="AW630" s="64"/>
      <c r="DG630" s="38">
        <v>0.1116</v>
      </c>
      <c r="DH630" s="38">
        <v>0.108</v>
      </c>
      <c r="DI630" s="38" t="s">
        <v>552</v>
      </c>
      <c r="DS630" s="12"/>
      <c r="DU630" s="15"/>
      <c r="FA630" s="38" t="s">
        <v>855</v>
      </c>
      <c r="FC630" s="38">
        <v>30</v>
      </c>
    </row>
    <row r="631" spans="1:159" s="38" customFormat="1" x14ac:dyDescent="0.25">
      <c r="A631" s="38">
        <v>30</v>
      </c>
      <c r="B631" s="38" t="s">
        <v>545</v>
      </c>
      <c r="C631" s="38" t="s">
        <v>546</v>
      </c>
      <c r="D631" s="38">
        <v>2002</v>
      </c>
      <c r="E631" s="38">
        <v>1998</v>
      </c>
      <c r="F631" s="38" t="s">
        <v>547</v>
      </c>
      <c r="G631" s="38" t="s">
        <v>548</v>
      </c>
      <c r="H631" s="38">
        <f t="shared" si="206"/>
        <v>38.533333333333331</v>
      </c>
      <c r="I631" s="38">
        <f t="shared" si="207"/>
        <v>-121.78333333333333</v>
      </c>
      <c r="J631" s="38">
        <v>18.399999999999999</v>
      </c>
      <c r="N631" s="38">
        <v>483</v>
      </c>
      <c r="P631" s="57" t="s">
        <v>180</v>
      </c>
      <c r="Q631" s="57"/>
      <c r="R631" s="57">
        <v>36145</v>
      </c>
      <c r="S631" s="57" t="s">
        <v>1662</v>
      </c>
      <c r="T631" s="57" t="s">
        <v>1682</v>
      </c>
      <c r="V631" s="38">
        <v>36</v>
      </c>
      <c r="W631" s="38">
        <v>46</v>
      </c>
      <c r="X631" s="38" t="s">
        <v>175</v>
      </c>
      <c r="AB631" s="38" t="s">
        <v>1566</v>
      </c>
      <c r="AC631" s="38" t="s">
        <v>1817</v>
      </c>
      <c r="AD631" s="153" t="str">
        <f t="shared" si="203"/>
        <v>Common_Vetch</v>
      </c>
      <c r="AE631" s="38" t="s">
        <v>1635</v>
      </c>
      <c r="AG631" s="38" t="s">
        <v>549</v>
      </c>
      <c r="AH631" s="38" t="s">
        <v>549</v>
      </c>
      <c r="AI631" s="38" t="s">
        <v>230</v>
      </c>
      <c r="AM631" s="38" t="s">
        <v>443</v>
      </c>
      <c r="AN631" s="38" t="s">
        <v>551</v>
      </c>
      <c r="AO631" s="38" t="s">
        <v>618</v>
      </c>
      <c r="AP631" s="38" t="s">
        <v>154</v>
      </c>
      <c r="AQ631" s="38">
        <v>4</v>
      </c>
      <c r="AR631" s="38">
        <v>4</v>
      </c>
      <c r="AS631" s="38" t="s">
        <v>404</v>
      </c>
      <c r="AW631" s="64"/>
      <c r="DG631" s="38">
        <v>0.1116</v>
      </c>
      <c r="DH631" s="38">
        <v>0.108</v>
      </c>
      <c r="DI631" s="38" t="s">
        <v>552</v>
      </c>
      <c r="DS631" s="12"/>
      <c r="DU631" s="15"/>
      <c r="FA631" s="38" t="s">
        <v>855</v>
      </c>
      <c r="FC631" s="38">
        <v>30</v>
      </c>
    </row>
    <row r="632" spans="1:159" s="38" customFormat="1" x14ac:dyDescent="0.25">
      <c r="A632" s="38">
        <v>30</v>
      </c>
      <c r="B632" s="38" t="s">
        <v>545</v>
      </c>
      <c r="C632" s="38" t="s">
        <v>546</v>
      </c>
      <c r="D632" s="38">
        <v>2002</v>
      </c>
      <c r="E632" s="38">
        <v>1999</v>
      </c>
      <c r="F632" s="38" t="s">
        <v>547</v>
      </c>
      <c r="G632" s="38" t="s">
        <v>548</v>
      </c>
      <c r="H632" s="38">
        <f t="shared" si="206"/>
        <v>38.533333333333331</v>
      </c>
      <c r="I632" s="38">
        <f t="shared" si="207"/>
        <v>-121.78333333333333</v>
      </c>
      <c r="J632" s="38">
        <v>18.399999999999999</v>
      </c>
      <c r="N632" s="38">
        <v>483</v>
      </c>
      <c r="P632" s="57" t="s">
        <v>181</v>
      </c>
      <c r="Q632" s="57"/>
      <c r="R632" s="57">
        <v>36170</v>
      </c>
      <c r="S632" s="57" t="s">
        <v>1662</v>
      </c>
      <c r="T632" s="57" t="s">
        <v>1682</v>
      </c>
      <c r="V632" s="38">
        <v>36</v>
      </c>
      <c r="W632" s="38">
        <v>46</v>
      </c>
      <c r="X632" s="38" t="s">
        <v>175</v>
      </c>
      <c r="AB632" s="38" t="s">
        <v>1566</v>
      </c>
      <c r="AC632" s="38" t="s">
        <v>1817</v>
      </c>
      <c r="AD632" s="153" t="str">
        <f t="shared" si="203"/>
        <v>Common_Vetch</v>
      </c>
      <c r="AE632" s="38" t="s">
        <v>1635</v>
      </c>
      <c r="AG632" s="38" t="s">
        <v>549</v>
      </c>
      <c r="AH632" s="38" t="s">
        <v>549</v>
      </c>
      <c r="AI632" s="38" t="s">
        <v>230</v>
      </c>
      <c r="AM632" s="38" t="s">
        <v>443</v>
      </c>
      <c r="AN632" s="38" t="s">
        <v>550</v>
      </c>
      <c r="AO632" s="38" t="s">
        <v>618</v>
      </c>
      <c r="AP632" s="38" t="s">
        <v>154</v>
      </c>
      <c r="AQ632" s="38">
        <v>4</v>
      </c>
      <c r="AR632" s="38">
        <v>4</v>
      </c>
      <c r="AS632" s="38" t="s">
        <v>404</v>
      </c>
      <c r="AW632" s="64"/>
      <c r="DG632" s="38">
        <v>0.1089</v>
      </c>
      <c r="DH632" s="38">
        <v>0.1116</v>
      </c>
      <c r="DI632" s="38" t="s">
        <v>552</v>
      </c>
      <c r="DS632" s="12"/>
      <c r="DU632" s="15"/>
      <c r="FA632" s="38" t="s">
        <v>855</v>
      </c>
      <c r="FC632" s="38">
        <v>30</v>
      </c>
    </row>
    <row r="633" spans="1:159" s="38" customFormat="1" x14ac:dyDescent="0.25">
      <c r="A633" s="38">
        <v>30</v>
      </c>
      <c r="B633" s="38" t="s">
        <v>545</v>
      </c>
      <c r="C633" s="38" t="s">
        <v>546</v>
      </c>
      <c r="D633" s="38">
        <v>2002</v>
      </c>
      <c r="E633" s="38">
        <v>1999</v>
      </c>
      <c r="F633" s="38" t="s">
        <v>547</v>
      </c>
      <c r="G633" s="38" t="s">
        <v>548</v>
      </c>
      <c r="H633" s="38">
        <f t="shared" si="206"/>
        <v>38.533333333333331</v>
      </c>
      <c r="I633" s="38">
        <f t="shared" si="207"/>
        <v>-121.78333333333333</v>
      </c>
      <c r="J633" s="38">
        <v>18.399999999999999</v>
      </c>
      <c r="N633" s="38">
        <v>483</v>
      </c>
      <c r="P633" s="57" t="s">
        <v>181</v>
      </c>
      <c r="Q633" s="57"/>
      <c r="R633" s="57">
        <v>36170</v>
      </c>
      <c r="S633" s="57" t="s">
        <v>1662</v>
      </c>
      <c r="T633" s="57" t="s">
        <v>1682</v>
      </c>
      <c r="V633" s="38">
        <v>36</v>
      </c>
      <c r="W633" s="38">
        <v>46</v>
      </c>
      <c r="X633" s="38" t="s">
        <v>175</v>
      </c>
      <c r="AB633" s="38" t="s">
        <v>1566</v>
      </c>
      <c r="AC633" s="38" t="s">
        <v>1817</v>
      </c>
      <c r="AD633" s="153" t="str">
        <f t="shared" si="203"/>
        <v>Common_Vetch</v>
      </c>
      <c r="AE633" s="38" t="s">
        <v>1635</v>
      </c>
      <c r="AG633" s="38" t="s">
        <v>549</v>
      </c>
      <c r="AH633" s="38" t="s">
        <v>549</v>
      </c>
      <c r="AI633" s="38" t="s">
        <v>230</v>
      </c>
      <c r="AM633" s="38" t="s">
        <v>443</v>
      </c>
      <c r="AN633" s="38" t="s">
        <v>551</v>
      </c>
      <c r="AO633" s="38" t="s">
        <v>618</v>
      </c>
      <c r="AP633" s="38" t="s">
        <v>154</v>
      </c>
      <c r="AQ633" s="38">
        <v>4</v>
      </c>
      <c r="AR633" s="38">
        <v>4</v>
      </c>
      <c r="AS633" s="38" t="s">
        <v>404</v>
      </c>
      <c r="AW633" s="64"/>
      <c r="DG633" s="38">
        <v>0.1089</v>
      </c>
      <c r="DH633" s="38">
        <v>0.10349999999999999</v>
      </c>
      <c r="DI633" s="38" t="s">
        <v>552</v>
      </c>
      <c r="DS633" s="12"/>
      <c r="DU633" s="15"/>
      <c r="FA633" s="38" t="s">
        <v>855</v>
      </c>
      <c r="FC633" s="38">
        <v>30</v>
      </c>
    </row>
    <row r="634" spans="1:159" s="38" customFormat="1" x14ac:dyDescent="0.25">
      <c r="A634" s="38">
        <v>30</v>
      </c>
      <c r="B634" s="38" t="s">
        <v>545</v>
      </c>
      <c r="C634" s="38" t="s">
        <v>546</v>
      </c>
      <c r="D634" s="38">
        <v>2002</v>
      </c>
      <c r="E634" s="38">
        <v>1999</v>
      </c>
      <c r="F634" s="38" t="s">
        <v>547</v>
      </c>
      <c r="G634" s="38" t="s">
        <v>548</v>
      </c>
      <c r="H634" s="38">
        <f t="shared" si="206"/>
        <v>38.533333333333331</v>
      </c>
      <c r="I634" s="38">
        <f t="shared" si="207"/>
        <v>-121.78333333333333</v>
      </c>
      <c r="J634" s="38">
        <v>18.399999999999999</v>
      </c>
      <c r="N634" s="38">
        <v>483</v>
      </c>
      <c r="P634" s="57" t="s">
        <v>181</v>
      </c>
      <c r="Q634" s="57"/>
      <c r="R634" s="57">
        <v>36187</v>
      </c>
      <c r="S634" s="57" t="s">
        <v>1662</v>
      </c>
      <c r="T634" s="57" t="s">
        <v>1682</v>
      </c>
      <c r="V634" s="38">
        <v>36</v>
      </c>
      <c r="W634" s="38">
        <v>46</v>
      </c>
      <c r="X634" s="38" t="s">
        <v>175</v>
      </c>
      <c r="AB634" s="38" t="s">
        <v>1566</v>
      </c>
      <c r="AC634" s="38" t="s">
        <v>1817</v>
      </c>
      <c r="AD634" s="153" t="str">
        <f t="shared" si="203"/>
        <v>Common_Vetch</v>
      </c>
      <c r="AE634" s="38" t="s">
        <v>1635</v>
      </c>
      <c r="AG634" s="38" t="s">
        <v>549</v>
      </c>
      <c r="AH634" s="38" t="s">
        <v>549</v>
      </c>
      <c r="AI634" s="38" t="s">
        <v>230</v>
      </c>
      <c r="AM634" s="38" t="s">
        <v>443</v>
      </c>
      <c r="AN634" s="38" t="s">
        <v>550</v>
      </c>
      <c r="AO634" s="38" t="s">
        <v>618</v>
      </c>
      <c r="AP634" s="38" t="s">
        <v>154</v>
      </c>
      <c r="AQ634" s="38">
        <v>4</v>
      </c>
      <c r="AR634" s="38">
        <v>4</v>
      </c>
      <c r="AS634" s="38" t="s">
        <v>404</v>
      </c>
      <c r="AW634" s="64"/>
      <c r="DG634" s="38">
        <v>0.11070000000000001</v>
      </c>
      <c r="DH634" s="38">
        <v>0.1133</v>
      </c>
      <c r="DI634" s="38" t="s">
        <v>552</v>
      </c>
      <c r="DS634" s="12"/>
      <c r="DU634" s="15"/>
      <c r="FA634" s="38" t="s">
        <v>855</v>
      </c>
      <c r="FC634" s="38">
        <v>30</v>
      </c>
    </row>
    <row r="635" spans="1:159" s="38" customFormat="1" x14ac:dyDescent="0.25">
      <c r="A635" s="38">
        <v>30</v>
      </c>
      <c r="B635" s="38" t="s">
        <v>545</v>
      </c>
      <c r="C635" s="38" t="s">
        <v>546</v>
      </c>
      <c r="D635" s="38">
        <v>2002</v>
      </c>
      <c r="E635" s="38">
        <v>1999</v>
      </c>
      <c r="F635" s="38" t="s">
        <v>547</v>
      </c>
      <c r="G635" s="38" t="s">
        <v>548</v>
      </c>
      <c r="H635" s="38">
        <f t="shared" si="206"/>
        <v>38.533333333333331</v>
      </c>
      <c r="I635" s="38">
        <f t="shared" si="207"/>
        <v>-121.78333333333333</v>
      </c>
      <c r="J635" s="38">
        <v>18.399999999999999</v>
      </c>
      <c r="N635" s="38">
        <v>483</v>
      </c>
      <c r="P635" s="57" t="s">
        <v>181</v>
      </c>
      <c r="Q635" s="57"/>
      <c r="R635" s="57">
        <v>36187</v>
      </c>
      <c r="S635" s="57" t="s">
        <v>1662</v>
      </c>
      <c r="T635" s="57" t="s">
        <v>1682</v>
      </c>
      <c r="V635" s="38">
        <v>36</v>
      </c>
      <c r="W635" s="38">
        <v>46</v>
      </c>
      <c r="X635" s="38" t="s">
        <v>175</v>
      </c>
      <c r="AB635" s="38" t="s">
        <v>1566</v>
      </c>
      <c r="AC635" s="38" t="s">
        <v>1817</v>
      </c>
      <c r="AD635" s="153" t="str">
        <f t="shared" si="203"/>
        <v>Common_Vetch</v>
      </c>
      <c r="AE635" s="38" t="s">
        <v>1635</v>
      </c>
      <c r="AG635" s="38" t="s">
        <v>549</v>
      </c>
      <c r="AH635" s="38" t="s">
        <v>549</v>
      </c>
      <c r="AI635" s="38" t="s">
        <v>230</v>
      </c>
      <c r="AM635" s="38" t="s">
        <v>443</v>
      </c>
      <c r="AN635" s="38" t="s">
        <v>551</v>
      </c>
      <c r="AO635" s="38" t="s">
        <v>618</v>
      </c>
      <c r="AP635" s="38" t="s">
        <v>154</v>
      </c>
      <c r="AQ635" s="38">
        <v>4</v>
      </c>
      <c r="AR635" s="38">
        <v>4</v>
      </c>
      <c r="AS635" s="38" t="s">
        <v>404</v>
      </c>
      <c r="AW635" s="64"/>
      <c r="DG635" s="38">
        <v>0.11070000000000001</v>
      </c>
      <c r="DH635" s="38">
        <v>0.1062</v>
      </c>
      <c r="DI635" s="38" t="s">
        <v>552</v>
      </c>
      <c r="DS635" s="12"/>
      <c r="DU635" s="15"/>
      <c r="FA635" s="38" t="s">
        <v>855</v>
      </c>
      <c r="FC635" s="38">
        <v>30</v>
      </c>
    </row>
    <row r="636" spans="1:159" s="38" customFormat="1" x14ac:dyDescent="0.25">
      <c r="A636" s="38">
        <v>30</v>
      </c>
      <c r="B636" s="38" t="s">
        <v>545</v>
      </c>
      <c r="C636" s="38" t="s">
        <v>546</v>
      </c>
      <c r="D636" s="38">
        <v>2002</v>
      </c>
      <c r="E636" s="38">
        <v>1999</v>
      </c>
      <c r="F636" s="38" t="s">
        <v>547</v>
      </c>
      <c r="G636" s="38" t="s">
        <v>548</v>
      </c>
      <c r="H636" s="38">
        <f t="shared" si="206"/>
        <v>38.533333333333331</v>
      </c>
      <c r="I636" s="38">
        <f t="shared" si="207"/>
        <v>-121.78333333333333</v>
      </c>
      <c r="J636" s="38">
        <v>18.399999999999999</v>
      </c>
      <c r="N636" s="38">
        <v>483</v>
      </c>
      <c r="P636" s="57" t="s">
        <v>181</v>
      </c>
      <c r="Q636" s="57"/>
      <c r="R636" s="57">
        <v>36198</v>
      </c>
      <c r="S636" s="57" t="s">
        <v>1662</v>
      </c>
      <c r="T636" s="57" t="s">
        <v>1682</v>
      </c>
      <c r="V636" s="38">
        <v>36</v>
      </c>
      <c r="W636" s="38">
        <v>46</v>
      </c>
      <c r="X636" s="38" t="s">
        <v>175</v>
      </c>
      <c r="AB636" s="38" t="s">
        <v>1566</v>
      </c>
      <c r="AC636" s="38" t="s">
        <v>1817</v>
      </c>
      <c r="AD636" s="153" t="str">
        <f t="shared" si="203"/>
        <v>Common_Vetch</v>
      </c>
      <c r="AE636" s="38" t="s">
        <v>1635</v>
      </c>
      <c r="AG636" s="38" t="s">
        <v>549</v>
      </c>
      <c r="AH636" s="38" t="s">
        <v>549</v>
      </c>
      <c r="AI636" s="38" t="s">
        <v>230</v>
      </c>
      <c r="AM636" s="38" t="s">
        <v>443</v>
      </c>
      <c r="AN636" s="38" t="s">
        <v>550</v>
      </c>
      <c r="AO636" s="38" t="s">
        <v>618</v>
      </c>
      <c r="AP636" s="38" t="s">
        <v>154</v>
      </c>
      <c r="AQ636" s="38">
        <v>4</v>
      </c>
      <c r="AR636" s="38">
        <v>4</v>
      </c>
      <c r="AS636" s="38" t="s">
        <v>404</v>
      </c>
      <c r="AW636" s="64"/>
      <c r="DG636" s="38">
        <v>0.12939999999999999</v>
      </c>
      <c r="DH636" s="38">
        <v>0.10780000000000001</v>
      </c>
      <c r="DI636" s="38" t="s">
        <v>552</v>
      </c>
      <c r="DS636" s="12"/>
      <c r="DU636" s="15"/>
      <c r="FA636" s="38" t="s">
        <v>855</v>
      </c>
      <c r="FC636" s="38">
        <v>30</v>
      </c>
    </row>
    <row r="637" spans="1:159" s="38" customFormat="1" x14ac:dyDescent="0.25">
      <c r="A637" s="38">
        <v>30</v>
      </c>
      <c r="B637" s="38" t="s">
        <v>545</v>
      </c>
      <c r="C637" s="38" t="s">
        <v>546</v>
      </c>
      <c r="D637" s="38">
        <v>2002</v>
      </c>
      <c r="E637" s="38">
        <v>1999</v>
      </c>
      <c r="F637" s="38" t="s">
        <v>547</v>
      </c>
      <c r="G637" s="38" t="s">
        <v>548</v>
      </c>
      <c r="H637" s="38">
        <f t="shared" si="206"/>
        <v>38.533333333333331</v>
      </c>
      <c r="I637" s="38">
        <f t="shared" si="207"/>
        <v>-121.78333333333333</v>
      </c>
      <c r="J637" s="38">
        <v>18.399999999999999</v>
      </c>
      <c r="N637" s="38">
        <v>483</v>
      </c>
      <c r="P637" s="57" t="s">
        <v>181</v>
      </c>
      <c r="Q637" s="57"/>
      <c r="R637" s="57">
        <v>36198</v>
      </c>
      <c r="S637" s="57" t="s">
        <v>1662</v>
      </c>
      <c r="T637" s="57" t="s">
        <v>1682</v>
      </c>
      <c r="V637" s="38">
        <v>36</v>
      </c>
      <c r="W637" s="38">
        <v>46</v>
      </c>
      <c r="X637" s="38" t="s">
        <v>175</v>
      </c>
      <c r="AB637" s="38" t="s">
        <v>1566</v>
      </c>
      <c r="AC637" s="38" t="s">
        <v>1817</v>
      </c>
      <c r="AD637" s="153" t="str">
        <f t="shared" si="203"/>
        <v>Common_Vetch</v>
      </c>
      <c r="AE637" s="38" t="s">
        <v>1635</v>
      </c>
      <c r="AG637" s="38" t="s">
        <v>549</v>
      </c>
      <c r="AH637" s="38" t="s">
        <v>549</v>
      </c>
      <c r="AI637" s="38" t="s">
        <v>230</v>
      </c>
      <c r="AM637" s="38" t="s">
        <v>443</v>
      </c>
      <c r="AN637" s="38" t="s">
        <v>551</v>
      </c>
      <c r="AO637" s="38" t="s">
        <v>618</v>
      </c>
      <c r="AP637" s="38" t="s">
        <v>154</v>
      </c>
      <c r="AQ637" s="38">
        <v>4</v>
      </c>
      <c r="AR637" s="38">
        <v>4</v>
      </c>
      <c r="AS637" s="38" t="s">
        <v>404</v>
      </c>
      <c r="AW637" s="64"/>
      <c r="DG637" s="38">
        <v>0.12939999999999999</v>
      </c>
      <c r="DH637" s="38">
        <v>0.10780000000000001</v>
      </c>
      <c r="DI637" s="38" t="s">
        <v>552</v>
      </c>
      <c r="DS637" s="12"/>
      <c r="DU637" s="15"/>
      <c r="FA637" s="38" t="s">
        <v>855</v>
      </c>
      <c r="FC637" s="38">
        <v>30</v>
      </c>
    </row>
    <row r="638" spans="1:159" s="38" customFormat="1" x14ac:dyDescent="0.25">
      <c r="A638" s="38">
        <v>30</v>
      </c>
      <c r="B638" s="38" t="s">
        <v>545</v>
      </c>
      <c r="C638" s="38" t="s">
        <v>546</v>
      </c>
      <c r="D638" s="38">
        <v>2002</v>
      </c>
      <c r="E638" s="38">
        <v>1999</v>
      </c>
      <c r="F638" s="38" t="s">
        <v>547</v>
      </c>
      <c r="G638" s="38" t="s">
        <v>548</v>
      </c>
      <c r="H638" s="38">
        <f t="shared" si="206"/>
        <v>38.533333333333331</v>
      </c>
      <c r="I638" s="38">
        <f t="shared" si="207"/>
        <v>-121.78333333333333</v>
      </c>
      <c r="J638" s="38">
        <v>18.399999999999999</v>
      </c>
      <c r="N638" s="38">
        <v>483</v>
      </c>
      <c r="P638" s="57" t="s">
        <v>181</v>
      </c>
      <c r="Q638" s="57"/>
      <c r="R638" s="57">
        <v>36232</v>
      </c>
      <c r="S638" s="57" t="s">
        <v>1662</v>
      </c>
      <c r="T638" s="57" t="s">
        <v>1682</v>
      </c>
      <c r="V638" s="38">
        <v>36</v>
      </c>
      <c r="W638" s="38">
        <v>46</v>
      </c>
      <c r="X638" s="38" t="s">
        <v>175</v>
      </c>
      <c r="AB638" s="38" t="s">
        <v>1566</v>
      </c>
      <c r="AC638" s="38" t="s">
        <v>1817</v>
      </c>
      <c r="AD638" s="153" t="str">
        <f t="shared" si="203"/>
        <v>Common_Vetch</v>
      </c>
      <c r="AE638" s="38" t="s">
        <v>1635</v>
      </c>
      <c r="AG638" s="38" t="s">
        <v>549</v>
      </c>
      <c r="AH638" s="38" t="s">
        <v>549</v>
      </c>
      <c r="AI638" s="38" t="s">
        <v>230</v>
      </c>
      <c r="AM638" s="38" t="s">
        <v>443</v>
      </c>
      <c r="AN638" s="38" t="s">
        <v>550</v>
      </c>
      <c r="AO638" s="38" t="s">
        <v>618</v>
      </c>
      <c r="AP638" s="38" t="s">
        <v>154</v>
      </c>
      <c r="AQ638" s="38">
        <v>4</v>
      </c>
      <c r="AR638" s="38">
        <v>4</v>
      </c>
      <c r="AS638" s="38" t="s">
        <v>404</v>
      </c>
      <c r="AW638" s="64"/>
      <c r="DG638" s="38">
        <v>0.1303</v>
      </c>
      <c r="DH638" s="38">
        <v>0.1133</v>
      </c>
      <c r="DI638" s="38" t="s">
        <v>552</v>
      </c>
      <c r="DS638" s="12"/>
      <c r="DU638" s="15"/>
      <c r="FA638" s="38" t="s">
        <v>855</v>
      </c>
      <c r="FC638" s="38">
        <v>30</v>
      </c>
    </row>
    <row r="639" spans="1:159" s="38" customFormat="1" x14ac:dyDescent="0.25">
      <c r="A639" s="38">
        <v>30</v>
      </c>
      <c r="B639" s="38" t="s">
        <v>545</v>
      </c>
      <c r="C639" s="38" t="s">
        <v>546</v>
      </c>
      <c r="D639" s="38">
        <v>2002</v>
      </c>
      <c r="E639" s="38">
        <v>1999</v>
      </c>
      <c r="F639" s="38" t="s">
        <v>547</v>
      </c>
      <c r="G639" s="38" t="s">
        <v>548</v>
      </c>
      <c r="H639" s="38">
        <f t="shared" si="206"/>
        <v>38.533333333333331</v>
      </c>
      <c r="I639" s="38">
        <f t="shared" si="207"/>
        <v>-121.78333333333333</v>
      </c>
      <c r="J639" s="38">
        <v>18.399999999999999</v>
      </c>
      <c r="N639" s="38">
        <v>483</v>
      </c>
      <c r="P639" s="57" t="s">
        <v>181</v>
      </c>
      <c r="Q639" s="57"/>
      <c r="R639" s="57">
        <v>36232</v>
      </c>
      <c r="S639" s="57" t="s">
        <v>1662</v>
      </c>
      <c r="T639" s="57" t="s">
        <v>1682</v>
      </c>
      <c r="V639" s="38">
        <v>36</v>
      </c>
      <c r="W639" s="38">
        <v>46</v>
      </c>
      <c r="X639" s="38" t="s">
        <v>175</v>
      </c>
      <c r="AB639" s="38" t="s">
        <v>1566</v>
      </c>
      <c r="AC639" s="38" t="s">
        <v>1817</v>
      </c>
      <c r="AD639" s="153" t="str">
        <f t="shared" si="203"/>
        <v>Common_Vetch</v>
      </c>
      <c r="AE639" s="38" t="s">
        <v>1635</v>
      </c>
      <c r="AG639" s="38" t="s">
        <v>549</v>
      </c>
      <c r="AH639" s="38" t="s">
        <v>549</v>
      </c>
      <c r="AI639" s="38" t="s">
        <v>230</v>
      </c>
      <c r="AM639" s="38" t="s">
        <v>443</v>
      </c>
      <c r="AN639" s="38" t="s">
        <v>551</v>
      </c>
      <c r="AO639" s="38" t="s">
        <v>618</v>
      </c>
      <c r="AP639" s="38" t="s">
        <v>154</v>
      </c>
      <c r="AQ639" s="38">
        <v>4</v>
      </c>
      <c r="AR639" s="38">
        <v>4</v>
      </c>
      <c r="AS639" s="38" t="s">
        <v>404</v>
      </c>
      <c r="AW639" s="64"/>
      <c r="DG639" s="38">
        <v>0.1303</v>
      </c>
      <c r="DH639" s="38">
        <v>0.10780000000000001</v>
      </c>
      <c r="DI639" s="38" t="s">
        <v>552</v>
      </c>
      <c r="DS639" s="12"/>
      <c r="DU639" s="15"/>
      <c r="FA639" s="38" t="s">
        <v>855</v>
      </c>
      <c r="FC639" s="38">
        <v>30</v>
      </c>
    </row>
    <row r="640" spans="1:159" s="38" customFormat="1" x14ac:dyDescent="0.25">
      <c r="A640" s="38">
        <v>30</v>
      </c>
      <c r="B640" s="38" t="s">
        <v>545</v>
      </c>
      <c r="C640" s="38" t="s">
        <v>546</v>
      </c>
      <c r="D640" s="38">
        <v>2002</v>
      </c>
      <c r="E640" s="38">
        <v>1999</v>
      </c>
      <c r="F640" s="38" t="s">
        <v>547</v>
      </c>
      <c r="G640" s="38" t="s">
        <v>548</v>
      </c>
      <c r="H640" s="38">
        <f t="shared" si="206"/>
        <v>38.533333333333331</v>
      </c>
      <c r="I640" s="38">
        <f t="shared" si="207"/>
        <v>-121.78333333333333</v>
      </c>
      <c r="J640" s="38">
        <v>18.399999999999999</v>
      </c>
      <c r="N640" s="38">
        <v>483</v>
      </c>
      <c r="P640" s="57" t="s">
        <v>181</v>
      </c>
      <c r="Q640" s="57"/>
      <c r="R640" s="57">
        <v>36234</v>
      </c>
      <c r="S640" s="57" t="s">
        <v>1662</v>
      </c>
      <c r="T640" s="57" t="s">
        <v>1682</v>
      </c>
      <c r="V640" s="38">
        <v>36</v>
      </c>
      <c r="W640" s="38">
        <v>46</v>
      </c>
      <c r="X640" s="38" t="s">
        <v>175</v>
      </c>
      <c r="AB640" s="38" t="s">
        <v>1566</v>
      </c>
      <c r="AC640" s="38" t="s">
        <v>1817</v>
      </c>
      <c r="AD640" s="153" t="str">
        <f t="shared" si="203"/>
        <v>Common_Vetch</v>
      </c>
      <c r="AE640" s="38" t="s">
        <v>1635</v>
      </c>
      <c r="AG640" s="38" t="s">
        <v>549</v>
      </c>
      <c r="AH640" s="38" t="s">
        <v>549</v>
      </c>
      <c r="AI640" s="38" t="s">
        <v>230</v>
      </c>
      <c r="AM640" s="38" t="s">
        <v>443</v>
      </c>
      <c r="AN640" s="38" t="s">
        <v>550</v>
      </c>
      <c r="AO640" s="38" t="s">
        <v>618</v>
      </c>
      <c r="AP640" s="38" t="s">
        <v>154</v>
      </c>
      <c r="AQ640" s="38">
        <v>4</v>
      </c>
      <c r="AR640" s="38">
        <v>4</v>
      </c>
      <c r="AS640" s="38" t="s">
        <v>404</v>
      </c>
      <c r="AW640" s="64"/>
      <c r="DG640" s="38">
        <v>0.1285</v>
      </c>
      <c r="DH640" s="38">
        <v>0.1124</v>
      </c>
      <c r="DI640" s="38" t="s">
        <v>552</v>
      </c>
      <c r="DS640" s="12"/>
      <c r="DU640" s="15"/>
      <c r="FA640" s="38" t="s">
        <v>855</v>
      </c>
      <c r="FC640" s="38">
        <v>30</v>
      </c>
    </row>
    <row r="641" spans="1:159" s="38" customFormat="1" x14ac:dyDescent="0.25">
      <c r="A641" s="38">
        <v>30</v>
      </c>
      <c r="B641" s="38" t="s">
        <v>545</v>
      </c>
      <c r="C641" s="38" t="s">
        <v>546</v>
      </c>
      <c r="D641" s="38">
        <v>2002</v>
      </c>
      <c r="E641" s="38">
        <v>1999</v>
      </c>
      <c r="F641" s="38" t="s">
        <v>547</v>
      </c>
      <c r="G641" s="38" t="s">
        <v>548</v>
      </c>
      <c r="H641" s="38">
        <f t="shared" si="206"/>
        <v>38.533333333333331</v>
      </c>
      <c r="I641" s="38">
        <f t="shared" si="207"/>
        <v>-121.78333333333333</v>
      </c>
      <c r="J641" s="38">
        <v>18.399999999999999</v>
      </c>
      <c r="N641" s="38">
        <v>483</v>
      </c>
      <c r="P641" s="57" t="s">
        <v>181</v>
      </c>
      <c r="Q641" s="57"/>
      <c r="R641" s="57">
        <v>36234</v>
      </c>
      <c r="S641" s="57" t="s">
        <v>1662</v>
      </c>
      <c r="T641" s="57" t="s">
        <v>1682</v>
      </c>
      <c r="V641" s="38">
        <v>36</v>
      </c>
      <c r="W641" s="38">
        <v>46</v>
      </c>
      <c r="X641" s="38" t="s">
        <v>175</v>
      </c>
      <c r="AB641" s="38" t="s">
        <v>1566</v>
      </c>
      <c r="AC641" s="38" t="s">
        <v>1817</v>
      </c>
      <c r="AD641" s="153" t="str">
        <f t="shared" si="203"/>
        <v>Common_Vetch</v>
      </c>
      <c r="AE641" s="38" t="s">
        <v>1635</v>
      </c>
      <c r="AG641" s="38" t="s">
        <v>549</v>
      </c>
      <c r="AH641" s="38" t="s">
        <v>549</v>
      </c>
      <c r="AI641" s="38" t="s">
        <v>230</v>
      </c>
      <c r="AM641" s="38" t="s">
        <v>443</v>
      </c>
      <c r="AN641" s="38" t="s">
        <v>551</v>
      </c>
      <c r="AO641" s="38" t="s">
        <v>618</v>
      </c>
      <c r="AP641" s="38" t="s">
        <v>154</v>
      </c>
      <c r="AQ641" s="38">
        <v>4</v>
      </c>
      <c r="AR641" s="38">
        <v>4</v>
      </c>
      <c r="AS641" s="38" t="s">
        <v>404</v>
      </c>
      <c r="AW641" s="64"/>
      <c r="DG641" s="38">
        <v>0.1285</v>
      </c>
      <c r="DH641" s="38">
        <v>0.1061</v>
      </c>
      <c r="DI641" s="38" t="s">
        <v>552</v>
      </c>
      <c r="DS641" s="12"/>
      <c r="DU641" s="15"/>
      <c r="FA641" s="38" t="s">
        <v>855</v>
      </c>
      <c r="FC641" s="38">
        <v>30</v>
      </c>
    </row>
    <row r="642" spans="1:159" s="38" customFormat="1" x14ac:dyDescent="0.25">
      <c r="A642" s="38">
        <v>30</v>
      </c>
      <c r="B642" s="38" t="s">
        <v>545</v>
      </c>
      <c r="C642" s="38" t="s">
        <v>546</v>
      </c>
      <c r="D642" s="38">
        <v>2002</v>
      </c>
      <c r="E642" s="38">
        <v>1999</v>
      </c>
      <c r="F642" s="38" t="s">
        <v>547</v>
      </c>
      <c r="G642" s="38" t="s">
        <v>548</v>
      </c>
      <c r="H642" s="38">
        <f t="shared" si="206"/>
        <v>38.533333333333331</v>
      </c>
      <c r="I642" s="38">
        <f t="shared" si="207"/>
        <v>-121.78333333333333</v>
      </c>
      <c r="J642" s="38">
        <v>18.399999999999999</v>
      </c>
      <c r="N642" s="38">
        <v>483</v>
      </c>
      <c r="P642" s="57" t="s">
        <v>181</v>
      </c>
      <c r="Q642" s="57"/>
      <c r="R642" s="57">
        <v>36514</v>
      </c>
      <c r="S642" s="57" t="s">
        <v>1662</v>
      </c>
      <c r="T642" s="57" t="s">
        <v>1682</v>
      </c>
      <c r="V642" s="38">
        <v>36</v>
      </c>
      <c r="W642" s="38">
        <v>46</v>
      </c>
      <c r="X642" s="38" t="s">
        <v>175</v>
      </c>
      <c r="AB642" s="38" t="s">
        <v>1566</v>
      </c>
      <c r="AC642" s="38" t="s">
        <v>1817</v>
      </c>
      <c r="AD642" s="153" t="str">
        <f t="shared" si="203"/>
        <v>Common_Vetch</v>
      </c>
      <c r="AE642" s="38" t="s">
        <v>1635</v>
      </c>
      <c r="AG642" s="38" t="s">
        <v>549</v>
      </c>
      <c r="AH642" s="38" t="s">
        <v>549</v>
      </c>
      <c r="AI642" s="38" t="s">
        <v>230</v>
      </c>
      <c r="AM642" s="38" t="s">
        <v>443</v>
      </c>
      <c r="AN642" s="38" t="s">
        <v>550</v>
      </c>
      <c r="AO642" s="38" t="s">
        <v>618</v>
      </c>
      <c r="AP642" s="38" t="s">
        <v>154</v>
      </c>
      <c r="AQ642" s="38">
        <v>4</v>
      </c>
      <c r="AR642" s="38">
        <v>4</v>
      </c>
      <c r="AS642" s="38" t="s">
        <v>404</v>
      </c>
      <c r="AW642" s="64"/>
      <c r="DG642" s="38">
        <v>0.1051</v>
      </c>
      <c r="DH642" s="38">
        <v>0.1069</v>
      </c>
      <c r="DI642" s="38" t="s">
        <v>552</v>
      </c>
      <c r="DS642" s="12"/>
      <c r="DU642" s="15"/>
      <c r="FA642" s="38" t="s">
        <v>855</v>
      </c>
      <c r="FC642" s="38">
        <v>30</v>
      </c>
    </row>
    <row r="643" spans="1:159" s="38" customFormat="1" x14ac:dyDescent="0.25">
      <c r="A643" s="38">
        <v>30</v>
      </c>
      <c r="B643" s="38" t="s">
        <v>545</v>
      </c>
      <c r="C643" s="38" t="s">
        <v>546</v>
      </c>
      <c r="D643" s="38">
        <v>2002</v>
      </c>
      <c r="E643" s="38">
        <v>1999</v>
      </c>
      <c r="F643" s="38" t="s">
        <v>547</v>
      </c>
      <c r="G643" s="38" t="s">
        <v>548</v>
      </c>
      <c r="H643" s="38">
        <f t="shared" si="206"/>
        <v>38.533333333333331</v>
      </c>
      <c r="I643" s="38">
        <f t="shared" si="207"/>
        <v>-121.78333333333333</v>
      </c>
      <c r="J643" s="38">
        <v>18.399999999999999</v>
      </c>
      <c r="N643" s="38">
        <v>483</v>
      </c>
      <c r="P643" s="57" t="s">
        <v>181</v>
      </c>
      <c r="Q643" s="57"/>
      <c r="R643" s="57">
        <v>36514</v>
      </c>
      <c r="S643" s="57" t="s">
        <v>1662</v>
      </c>
      <c r="T643" s="57" t="s">
        <v>1682</v>
      </c>
      <c r="V643" s="38">
        <v>36</v>
      </c>
      <c r="W643" s="38">
        <v>46</v>
      </c>
      <c r="X643" s="38" t="s">
        <v>175</v>
      </c>
      <c r="AB643" s="38" t="s">
        <v>1566</v>
      </c>
      <c r="AC643" s="38" t="s">
        <v>1817</v>
      </c>
      <c r="AD643" s="153" t="str">
        <f t="shared" ref="AD643:AD706" si="208">IF(OR(AC643="*Rye",AC643="Rye*",AC643="Downy_brome"),"Rye",IF(OR(AC643="*Oat",AC643="Oat*",AC643="Trudan_8",AC643="*Wheat",AC643="Wheat*",AC643="Barley*",AC643="Hemp",AC643="Hemp",AC643="Triticale*",AC643="Grass",AC643="Millet"),"Grass",IF(OR(AC643="*clover",AC643="clover*",AC643="Vetch*",AC643="Vetch*",AC643="Alfalfa",AC643="Soybean",AC643="*Lentil",AC643="Lentil*",AC643="*Pea",AC643="Pea*",AC643="Lupine"),"Legume",AC643)))</f>
        <v>Common_Vetch</v>
      </c>
      <c r="AE643" s="38" t="s">
        <v>1635</v>
      </c>
      <c r="AG643" s="38" t="s">
        <v>549</v>
      </c>
      <c r="AH643" s="38" t="s">
        <v>549</v>
      </c>
      <c r="AI643" s="38" t="s">
        <v>230</v>
      </c>
      <c r="AM643" s="38" t="s">
        <v>443</v>
      </c>
      <c r="AN643" s="38" t="s">
        <v>551</v>
      </c>
      <c r="AO643" s="38" t="s">
        <v>618</v>
      </c>
      <c r="AP643" s="38" t="s">
        <v>154</v>
      </c>
      <c r="AQ643" s="38">
        <v>4</v>
      </c>
      <c r="AR643" s="38">
        <v>4</v>
      </c>
      <c r="AS643" s="38" t="s">
        <v>404</v>
      </c>
      <c r="AW643" s="64"/>
      <c r="DG643" s="38">
        <v>0.1051</v>
      </c>
      <c r="DH643" s="38">
        <v>0.1114</v>
      </c>
      <c r="DI643" s="38" t="s">
        <v>552</v>
      </c>
      <c r="DS643" s="12"/>
      <c r="DU643" s="15"/>
      <c r="FA643" s="38" t="s">
        <v>855</v>
      </c>
      <c r="FC643" s="38">
        <v>30</v>
      </c>
    </row>
    <row r="644" spans="1:159" s="38" customFormat="1" x14ac:dyDescent="0.25">
      <c r="A644" s="38">
        <v>30</v>
      </c>
      <c r="B644" s="38" t="s">
        <v>545</v>
      </c>
      <c r="C644" s="38" t="s">
        <v>546</v>
      </c>
      <c r="D644" s="38">
        <v>2002</v>
      </c>
      <c r="E644" s="38">
        <v>2000</v>
      </c>
      <c r="F644" s="38" t="s">
        <v>547</v>
      </c>
      <c r="G644" s="38" t="s">
        <v>548</v>
      </c>
      <c r="H644" s="38">
        <f t="shared" si="206"/>
        <v>38.533333333333331</v>
      </c>
      <c r="I644" s="38">
        <f t="shared" si="207"/>
        <v>-121.78333333333333</v>
      </c>
      <c r="J644" s="38">
        <v>18.399999999999999</v>
      </c>
      <c r="N644" s="38">
        <v>483</v>
      </c>
      <c r="P644" s="57" t="s">
        <v>182</v>
      </c>
      <c r="Q644" s="57"/>
      <c r="R644" s="57">
        <v>36535</v>
      </c>
      <c r="S644" s="57" t="s">
        <v>1662</v>
      </c>
      <c r="T644" s="57" t="s">
        <v>1682</v>
      </c>
      <c r="V644" s="38">
        <v>36</v>
      </c>
      <c r="W644" s="38">
        <v>46</v>
      </c>
      <c r="X644" s="38" t="s">
        <v>175</v>
      </c>
      <c r="AB644" s="38" t="s">
        <v>1566</v>
      </c>
      <c r="AC644" s="38" t="s">
        <v>1817</v>
      </c>
      <c r="AD644" s="153" t="str">
        <f t="shared" si="208"/>
        <v>Common_Vetch</v>
      </c>
      <c r="AE644" s="38" t="s">
        <v>1635</v>
      </c>
      <c r="AG644" s="38" t="s">
        <v>549</v>
      </c>
      <c r="AH644" s="38" t="s">
        <v>549</v>
      </c>
      <c r="AI644" s="38" t="s">
        <v>230</v>
      </c>
      <c r="AM644" s="38" t="s">
        <v>443</v>
      </c>
      <c r="AN644" s="38" t="s">
        <v>550</v>
      </c>
      <c r="AO644" s="38" t="s">
        <v>618</v>
      </c>
      <c r="AP644" s="38" t="s">
        <v>154</v>
      </c>
      <c r="AQ644" s="38">
        <v>4</v>
      </c>
      <c r="AR644" s="38">
        <v>4</v>
      </c>
      <c r="AS644" s="38" t="s">
        <v>404</v>
      </c>
      <c r="AW644" s="64"/>
      <c r="DG644" s="38">
        <v>0.1033</v>
      </c>
      <c r="DH644" s="38">
        <v>0.1086</v>
      </c>
      <c r="DI644" s="38" t="s">
        <v>552</v>
      </c>
      <c r="DS644" s="12"/>
      <c r="DU644" s="15"/>
      <c r="FA644" s="38" t="s">
        <v>855</v>
      </c>
      <c r="FC644" s="38">
        <v>30</v>
      </c>
    </row>
    <row r="645" spans="1:159" s="38" customFormat="1" x14ac:dyDescent="0.25">
      <c r="A645" s="38">
        <v>30</v>
      </c>
      <c r="B645" s="38" t="s">
        <v>545</v>
      </c>
      <c r="C645" s="38" t="s">
        <v>546</v>
      </c>
      <c r="D645" s="38">
        <v>2002</v>
      </c>
      <c r="E645" s="38">
        <v>2000</v>
      </c>
      <c r="F645" s="38" t="s">
        <v>547</v>
      </c>
      <c r="G645" s="38" t="s">
        <v>548</v>
      </c>
      <c r="H645" s="38">
        <f t="shared" si="206"/>
        <v>38.533333333333331</v>
      </c>
      <c r="I645" s="38">
        <f t="shared" si="207"/>
        <v>-121.78333333333333</v>
      </c>
      <c r="J645" s="38">
        <v>18.399999999999999</v>
      </c>
      <c r="N645" s="38">
        <v>483</v>
      </c>
      <c r="P645" s="57" t="s">
        <v>182</v>
      </c>
      <c r="Q645" s="57"/>
      <c r="R645" s="57">
        <v>36535</v>
      </c>
      <c r="S645" s="57" t="s">
        <v>1662</v>
      </c>
      <c r="T645" s="57" t="s">
        <v>1682</v>
      </c>
      <c r="V645" s="38">
        <v>36</v>
      </c>
      <c r="W645" s="38">
        <v>46</v>
      </c>
      <c r="X645" s="38" t="s">
        <v>175</v>
      </c>
      <c r="AB645" s="38" t="s">
        <v>1566</v>
      </c>
      <c r="AC645" s="38" t="s">
        <v>1817</v>
      </c>
      <c r="AD645" s="153" t="str">
        <f t="shared" si="208"/>
        <v>Common_Vetch</v>
      </c>
      <c r="AE645" s="38" t="s">
        <v>1635</v>
      </c>
      <c r="AG645" s="38" t="s">
        <v>549</v>
      </c>
      <c r="AH645" s="38" t="s">
        <v>549</v>
      </c>
      <c r="AI645" s="38" t="s">
        <v>230</v>
      </c>
      <c r="AM645" s="38" t="s">
        <v>443</v>
      </c>
      <c r="AN645" s="38" t="s">
        <v>551</v>
      </c>
      <c r="AO645" s="38" t="s">
        <v>618</v>
      </c>
      <c r="AP645" s="38" t="s">
        <v>154</v>
      </c>
      <c r="AQ645" s="38">
        <v>4</v>
      </c>
      <c r="AR645" s="38">
        <v>4</v>
      </c>
      <c r="AS645" s="38" t="s">
        <v>404</v>
      </c>
      <c r="AW645" s="64"/>
      <c r="DG645" s="38">
        <v>0.1033</v>
      </c>
      <c r="DH645" s="38">
        <v>0.11219999999999999</v>
      </c>
      <c r="DI645" s="38" t="s">
        <v>552</v>
      </c>
      <c r="DS645" s="12"/>
      <c r="DU645" s="15"/>
      <c r="FA645" s="38" t="s">
        <v>855</v>
      </c>
      <c r="FC645" s="38">
        <v>30</v>
      </c>
    </row>
    <row r="646" spans="1:159" s="38" customFormat="1" x14ac:dyDescent="0.25">
      <c r="A646" s="38">
        <v>30</v>
      </c>
      <c r="B646" s="38" t="s">
        <v>545</v>
      </c>
      <c r="C646" s="38" t="s">
        <v>546</v>
      </c>
      <c r="D646" s="38">
        <v>2002</v>
      </c>
      <c r="E646" s="38">
        <v>2000</v>
      </c>
      <c r="F646" s="38" t="s">
        <v>547</v>
      </c>
      <c r="G646" s="38" t="s">
        <v>548</v>
      </c>
      <c r="H646" s="38">
        <f t="shared" si="206"/>
        <v>38.533333333333331</v>
      </c>
      <c r="I646" s="38">
        <f t="shared" si="207"/>
        <v>-121.78333333333333</v>
      </c>
      <c r="J646" s="38">
        <v>18.399999999999999</v>
      </c>
      <c r="N646" s="38">
        <v>483</v>
      </c>
      <c r="P646" s="57" t="s">
        <v>182</v>
      </c>
      <c r="Q646" s="57"/>
      <c r="R646" s="57">
        <v>36541</v>
      </c>
      <c r="S646" s="57" t="s">
        <v>1662</v>
      </c>
      <c r="T646" s="57" t="s">
        <v>1682</v>
      </c>
      <c r="V646" s="38">
        <v>36</v>
      </c>
      <c r="W646" s="38">
        <v>46</v>
      </c>
      <c r="X646" s="38" t="s">
        <v>175</v>
      </c>
      <c r="AB646" s="38" t="s">
        <v>1566</v>
      </c>
      <c r="AC646" s="38" t="s">
        <v>1817</v>
      </c>
      <c r="AD646" s="153" t="str">
        <f t="shared" si="208"/>
        <v>Common_Vetch</v>
      </c>
      <c r="AE646" s="38" t="s">
        <v>1635</v>
      </c>
      <c r="AG646" s="38" t="s">
        <v>549</v>
      </c>
      <c r="AH646" s="38" t="s">
        <v>549</v>
      </c>
      <c r="AI646" s="38" t="s">
        <v>230</v>
      </c>
      <c r="AM646" s="38" t="s">
        <v>443</v>
      </c>
      <c r="AN646" s="38" t="s">
        <v>550</v>
      </c>
      <c r="AO646" s="38" t="s">
        <v>618</v>
      </c>
      <c r="AP646" s="38" t="s">
        <v>154</v>
      </c>
      <c r="AQ646" s="38">
        <v>4</v>
      </c>
      <c r="AR646" s="38">
        <v>4</v>
      </c>
      <c r="AS646" s="38" t="s">
        <v>404</v>
      </c>
      <c r="AW646" s="64"/>
      <c r="DG646" s="38">
        <v>0.1024</v>
      </c>
      <c r="DH646" s="38">
        <v>0.1095</v>
      </c>
      <c r="DI646" s="38" t="s">
        <v>552</v>
      </c>
      <c r="DS646" s="12"/>
      <c r="DU646" s="15"/>
      <c r="FA646" s="38" t="s">
        <v>855</v>
      </c>
      <c r="FC646" s="38">
        <v>30</v>
      </c>
    </row>
    <row r="647" spans="1:159" s="38" customFormat="1" x14ac:dyDescent="0.25">
      <c r="A647" s="38">
        <v>30</v>
      </c>
      <c r="B647" s="38" t="s">
        <v>545</v>
      </c>
      <c r="C647" s="38" t="s">
        <v>546</v>
      </c>
      <c r="D647" s="38">
        <v>2002</v>
      </c>
      <c r="E647" s="38">
        <v>2000</v>
      </c>
      <c r="F647" s="38" t="s">
        <v>547</v>
      </c>
      <c r="G647" s="38" t="s">
        <v>548</v>
      </c>
      <c r="H647" s="38">
        <f t="shared" si="206"/>
        <v>38.533333333333331</v>
      </c>
      <c r="I647" s="38">
        <f t="shared" si="207"/>
        <v>-121.78333333333333</v>
      </c>
      <c r="J647" s="38">
        <v>18.399999999999999</v>
      </c>
      <c r="N647" s="38">
        <v>483</v>
      </c>
      <c r="P647" s="57" t="s">
        <v>182</v>
      </c>
      <c r="Q647" s="57"/>
      <c r="R647" s="57">
        <v>36541</v>
      </c>
      <c r="S647" s="57" t="s">
        <v>1662</v>
      </c>
      <c r="T647" s="57" t="s">
        <v>1682</v>
      </c>
      <c r="V647" s="38">
        <v>36</v>
      </c>
      <c r="W647" s="38">
        <v>46</v>
      </c>
      <c r="X647" s="38" t="s">
        <v>175</v>
      </c>
      <c r="AB647" s="38" t="s">
        <v>1566</v>
      </c>
      <c r="AC647" s="38" t="s">
        <v>1817</v>
      </c>
      <c r="AD647" s="153" t="str">
        <f t="shared" si="208"/>
        <v>Common_Vetch</v>
      </c>
      <c r="AE647" s="38" t="s">
        <v>1635</v>
      </c>
      <c r="AG647" s="38" t="s">
        <v>549</v>
      </c>
      <c r="AH647" s="38" t="s">
        <v>549</v>
      </c>
      <c r="AI647" s="38" t="s">
        <v>230</v>
      </c>
      <c r="AM647" s="38" t="s">
        <v>443</v>
      </c>
      <c r="AN647" s="38" t="s">
        <v>551</v>
      </c>
      <c r="AO647" s="38" t="s">
        <v>618</v>
      </c>
      <c r="AP647" s="38" t="s">
        <v>154</v>
      </c>
      <c r="AQ647" s="38">
        <v>4</v>
      </c>
      <c r="AR647" s="38">
        <v>4</v>
      </c>
      <c r="AS647" s="38" t="s">
        <v>404</v>
      </c>
      <c r="AW647" s="64"/>
      <c r="DG647" s="38">
        <v>0.1024</v>
      </c>
      <c r="DH647" s="38">
        <v>0.1095</v>
      </c>
      <c r="DI647" s="38" t="s">
        <v>552</v>
      </c>
      <c r="DS647" s="12"/>
      <c r="DU647" s="15"/>
      <c r="FA647" s="38" t="s">
        <v>855</v>
      </c>
      <c r="FC647" s="38">
        <v>30</v>
      </c>
    </row>
    <row r="648" spans="1:159" s="38" customFormat="1" x14ac:dyDescent="0.25">
      <c r="A648" s="38">
        <v>30</v>
      </c>
      <c r="B648" s="38" t="s">
        <v>545</v>
      </c>
      <c r="C648" s="38" t="s">
        <v>546</v>
      </c>
      <c r="D648" s="38">
        <v>2002</v>
      </c>
      <c r="E648" s="38">
        <v>2000</v>
      </c>
      <c r="F648" s="38" t="s">
        <v>547</v>
      </c>
      <c r="G648" s="38" t="s">
        <v>548</v>
      </c>
      <c r="H648" s="38">
        <f t="shared" si="206"/>
        <v>38.533333333333331</v>
      </c>
      <c r="I648" s="38">
        <f t="shared" si="207"/>
        <v>-121.78333333333333</v>
      </c>
      <c r="J648" s="38">
        <v>18.399999999999999</v>
      </c>
      <c r="N648" s="38">
        <v>483</v>
      </c>
      <c r="P648" s="57" t="s">
        <v>182</v>
      </c>
      <c r="Q648" s="57"/>
      <c r="R648" s="57">
        <v>36549</v>
      </c>
      <c r="S648" s="57" t="s">
        <v>1662</v>
      </c>
      <c r="T648" s="57" t="s">
        <v>1682</v>
      </c>
      <c r="V648" s="38">
        <v>36</v>
      </c>
      <c r="W648" s="38">
        <v>46</v>
      </c>
      <c r="X648" s="38" t="s">
        <v>175</v>
      </c>
      <c r="AB648" s="38" t="s">
        <v>1566</v>
      </c>
      <c r="AC648" s="38" t="s">
        <v>1817</v>
      </c>
      <c r="AD648" s="153" t="str">
        <f t="shared" si="208"/>
        <v>Common_Vetch</v>
      </c>
      <c r="AE648" s="38" t="s">
        <v>1635</v>
      </c>
      <c r="AG648" s="38" t="s">
        <v>549</v>
      </c>
      <c r="AH648" s="38" t="s">
        <v>549</v>
      </c>
      <c r="AI648" s="38" t="s">
        <v>230</v>
      </c>
      <c r="AM648" s="38" t="s">
        <v>443</v>
      </c>
      <c r="AN648" s="38" t="s">
        <v>550</v>
      </c>
      <c r="AO648" s="38" t="s">
        <v>618</v>
      </c>
      <c r="AP648" s="38" t="s">
        <v>154</v>
      </c>
      <c r="AQ648" s="38">
        <v>4</v>
      </c>
      <c r="AR648" s="38">
        <v>4</v>
      </c>
      <c r="AS648" s="38" t="s">
        <v>404</v>
      </c>
      <c r="AW648" s="64"/>
      <c r="DG648" s="38">
        <v>0.10589999999999999</v>
      </c>
      <c r="DH648" s="38">
        <v>0.1086</v>
      </c>
      <c r="DI648" s="38" t="s">
        <v>552</v>
      </c>
      <c r="DS648" s="12"/>
      <c r="DU648" s="15"/>
      <c r="FA648" s="38" t="s">
        <v>855</v>
      </c>
      <c r="FC648" s="38">
        <v>30</v>
      </c>
    </row>
    <row r="649" spans="1:159" s="38" customFormat="1" x14ac:dyDescent="0.25">
      <c r="A649" s="38">
        <v>30</v>
      </c>
      <c r="B649" s="38" t="s">
        <v>545</v>
      </c>
      <c r="C649" s="38" t="s">
        <v>546</v>
      </c>
      <c r="D649" s="38">
        <v>2002</v>
      </c>
      <c r="E649" s="38">
        <v>2000</v>
      </c>
      <c r="F649" s="38" t="s">
        <v>547</v>
      </c>
      <c r="G649" s="38" t="s">
        <v>548</v>
      </c>
      <c r="H649" s="38">
        <f t="shared" si="206"/>
        <v>38.533333333333331</v>
      </c>
      <c r="I649" s="38">
        <f t="shared" si="207"/>
        <v>-121.78333333333333</v>
      </c>
      <c r="J649" s="38">
        <v>18.399999999999999</v>
      </c>
      <c r="N649" s="38">
        <v>483</v>
      </c>
      <c r="P649" s="57" t="s">
        <v>182</v>
      </c>
      <c r="Q649" s="57"/>
      <c r="R649" s="57">
        <v>36549</v>
      </c>
      <c r="S649" s="57" t="s">
        <v>1662</v>
      </c>
      <c r="T649" s="57" t="s">
        <v>1682</v>
      </c>
      <c r="V649" s="38">
        <v>36</v>
      </c>
      <c r="W649" s="38">
        <v>46</v>
      </c>
      <c r="X649" s="38" t="s">
        <v>175</v>
      </c>
      <c r="AB649" s="38" t="s">
        <v>1566</v>
      </c>
      <c r="AC649" s="38" t="s">
        <v>1817</v>
      </c>
      <c r="AD649" s="153" t="str">
        <f t="shared" si="208"/>
        <v>Common_Vetch</v>
      </c>
      <c r="AE649" s="38" t="s">
        <v>1635</v>
      </c>
      <c r="AG649" s="38" t="s">
        <v>549</v>
      </c>
      <c r="AH649" s="38" t="s">
        <v>549</v>
      </c>
      <c r="AI649" s="38" t="s">
        <v>230</v>
      </c>
      <c r="AM649" s="38" t="s">
        <v>443</v>
      </c>
      <c r="AN649" s="38" t="s">
        <v>551</v>
      </c>
      <c r="AO649" s="38" t="s">
        <v>618</v>
      </c>
      <c r="AP649" s="38" t="s">
        <v>154</v>
      </c>
      <c r="AQ649" s="38">
        <v>4</v>
      </c>
      <c r="AR649" s="38">
        <v>4</v>
      </c>
      <c r="AS649" s="38" t="s">
        <v>404</v>
      </c>
      <c r="AW649" s="64"/>
      <c r="DG649" s="38">
        <v>0.10589999999999999</v>
      </c>
      <c r="DH649" s="38">
        <v>0.1086</v>
      </c>
      <c r="DI649" s="38" t="s">
        <v>552</v>
      </c>
      <c r="DS649" s="12"/>
      <c r="DU649" s="15"/>
      <c r="FA649" s="38" t="s">
        <v>855</v>
      </c>
      <c r="FC649" s="38">
        <v>30</v>
      </c>
    </row>
    <row r="650" spans="1:159" s="38" customFormat="1" x14ac:dyDescent="0.25">
      <c r="A650" s="38">
        <v>30</v>
      </c>
      <c r="B650" s="38" t="s">
        <v>545</v>
      </c>
      <c r="C650" s="38" t="s">
        <v>546</v>
      </c>
      <c r="D650" s="38">
        <v>2002</v>
      </c>
      <c r="E650" s="38">
        <v>2000</v>
      </c>
      <c r="F650" s="38" t="s">
        <v>547</v>
      </c>
      <c r="G650" s="38" t="s">
        <v>548</v>
      </c>
      <c r="H650" s="38">
        <f t="shared" si="206"/>
        <v>38.533333333333331</v>
      </c>
      <c r="I650" s="38">
        <f t="shared" si="207"/>
        <v>-121.78333333333333</v>
      </c>
      <c r="J650" s="38">
        <v>18.399999999999999</v>
      </c>
      <c r="N650" s="38">
        <v>483</v>
      </c>
      <c r="P650" s="57" t="s">
        <v>182</v>
      </c>
      <c r="Q650" s="57"/>
      <c r="R650" s="57">
        <v>36562</v>
      </c>
      <c r="S650" s="57" t="s">
        <v>1662</v>
      </c>
      <c r="T650" s="57" t="s">
        <v>1682</v>
      </c>
      <c r="V650" s="38">
        <v>36</v>
      </c>
      <c r="W650" s="38">
        <v>46</v>
      </c>
      <c r="X650" s="38" t="s">
        <v>175</v>
      </c>
      <c r="AB650" s="38" t="s">
        <v>1566</v>
      </c>
      <c r="AC650" s="38" t="s">
        <v>1817</v>
      </c>
      <c r="AD650" s="153" t="str">
        <f t="shared" si="208"/>
        <v>Common_Vetch</v>
      </c>
      <c r="AE650" s="38" t="s">
        <v>1635</v>
      </c>
      <c r="AG650" s="38" t="s">
        <v>549</v>
      </c>
      <c r="AH650" s="38" t="s">
        <v>549</v>
      </c>
      <c r="AI650" s="38" t="s">
        <v>230</v>
      </c>
      <c r="AM650" s="38" t="s">
        <v>443</v>
      </c>
      <c r="AN650" s="38" t="s">
        <v>550</v>
      </c>
      <c r="AO650" s="38" t="s">
        <v>618</v>
      </c>
      <c r="AP650" s="38" t="s">
        <v>154</v>
      </c>
      <c r="AQ650" s="38">
        <v>4</v>
      </c>
      <c r="AR650" s="38">
        <v>4</v>
      </c>
      <c r="AS650" s="38" t="s">
        <v>404</v>
      </c>
      <c r="AW650" s="64"/>
      <c r="DG650" s="38">
        <v>0.11310000000000001</v>
      </c>
      <c r="DH650" s="38">
        <v>0.11310000000000001</v>
      </c>
      <c r="DI650" s="38" t="s">
        <v>552</v>
      </c>
      <c r="DS650" s="12"/>
      <c r="DU650" s="15"/>
      <c r="FA650" s="38" t="s">
        <v>855</v>
      </c>
      <c r="FC650" s="38">
        <v>30</v>
      </c>
    </row>
    <row r="651" spans="1:159" s="38" customFormat="1" x14ac:dyDescent="0.25">
      <c r="A651" s="38">
        <v>30</v>
      </c>
      <c r="B651" s="38" t="s">
        <v>545</v>
      </c>
      <c r="C651" s="38" t="s">
        <v>546</v>
      </c>
      <c r="D651" s="38">
        <v>2002</v>
      </c>
      <c r="E651" s="38">
        <v>2000</v>
      </c>
      <c r="F651" s="38" t="s">
        <v>547</v>
      </c>
      <c r="G651" s="38" t="s">
        <v>548</v>
      </c>
      <c r="H651" s="38">
        <f t="shared" si="206"/>
        <v>38.533333333333331</v>
      </c>
      <c r="I651" s="38">
        <f t="shared" si="207"/>
        <v>-121.78333333333333</v>
      </c>
      <c r="J651" s="38">
        <v>18.399999999999999</v>
      </c>
      <c r="N651" s="38">
        <v>483</v>
      </c>
      <c r="P651" s="57" t="s">
        <v>182</v>
      </c>
      <c r="Q651" s="57"/>
      <c r="R651" s="57">
        <v>36562</v>
      </c>
      <c r="S651" s="57" t="s">
        <v>1662</v>
      </c>
      <c r="T651" s="57" t="s">
        <v>1682</v>
      </c>
      <c r="V651" s="38">
        <v>36</v>
      </c>
      <c r="W651" s="38">
        <v>46</v>
      </c>
      <c r="X651" s="38" t="s">
        <v>175</v>
      </c>
      <c r="AB651" s="38" t="s">
        <v>1566</v>
      </c>
      <c r="AC651" s="38" t="s">
        <v>1817</v>
      </c>
      <c r="AD651" s="153" t="str">
        <f t="shared" si="208"/>
        <v>Common_Vetch</v>
      </c>
      <c r="AE651" s="38" t="s">
        <v>1635</v>
      </c>
      <c r="AG651" s="38" t="s">
        <v>549</v>
      </c>
      <c r="AH651" s="38" t="s">
        <v>549</v>
      </c>
      <c r="AI651" s="38" t="s">
        <v>230</v>
      </c>
      <c r="AM651" s="38" t="s">
        <v>443</v>
      </c>
      <c r="AN651" s="38" t="s">
        <v>551</v>
      </c>
      <c r="AO651" s="38" t="s">
        <v>618</v>
      </c>
      <c r="AP651" s="38" t="s">
        <v>154</v>
      </c>
      <c r="AQ651" s="38">
        <v>4</v>
      </c>
      <c r="AR651" s="38">
        <v>4</v>
      </c>
      <c r="AS651" s="38" t="s">
        <v>404</v>
      </c>
      <c r="AW651" s="64"/>
      <c r="DG651" s="38">
        <v>0.11310000000000001</v>
      </c>
      <c r="DH651" s="38">
        <v>0.11310000000000001</v>
      </c>
      <c r="DI651" s="38" t="s">
        <v>552</v>
      </c>
      <c r="DS651" s="12"/>
      <c r="DU651" s="15"/>
      <c r="FA651" s="38" t="s">
        <v>855</v>
      </c>
      <c r="FC651" s="38">
        <v>30</v>
      </c>
    </row>
    <row r="652" spans="1:159" s="38" customFormat="1" x14ac:dyDescent="0.25">
      <c r="A652" s="38">
        <v>30</v>
      </c>
      <c r="B652" s="38" t="s">
        <v>545</v>
      </c>
      <c r="C652" s="38" t="s">
        <v>546</v>
      </c>
      <c r="D652" s="38">
        <v>2002</v>
      </c>
      <c r="E652" s="38">
        <v>2000</v>
      </c>
      <c r="F652" s="38" t="s">
        <v>547</v>
      </c>
      <c r="G652" s="38" t="s">
        <v>548</v>
      </c>
      <c r="H652" s="38">
        <f t="shared" si="206"/>
        <v>38.533333333333331</v>
      </c>
      <c r="I652" s="38">
        <f t="shared" si="207"/>
        <v>-121.78333333333333</v>
      </c>
      <c r="J652" s="38">
        <v>18.399999999999999</v>
      </c>
      <c r="N652" s="38">
        <v>483</v>
      </c>
      <c r="P652" s="57" t="s">
        <v>182</v>
      </c>
      <c r="Q652" s="57"/>
      <c r="R652" s="57">
        <v>36566</v>
      </c>
      <c r="S652" s="57" t="s">
        <v>1662</v>
      </c>
      <c r="T652" s="57" t="s">
        <v>1682</v>
      </c>
      <c r="V652" s="38">
        <v>36</v>
      </c>
      <c r="W652" s="38">
        <v>46</v>
      </c>
      <c r="X652" s="38" t="s">
        <v>175</v>
      </c>
      <c r="AB652" s="38" t="s">
        <v>1566</v>
      </c>
      <c r="AC652" s="38" t="s">
        <v>1817</v>
      </c>
      <c r="AD652" s="153" t="str">
        <f t="shared" si="208"/>
        <v>Common_Vetch</v>
      </c>
      <c r="AE652" s="38" t="s">
        <v>1635</v>
      </c>
      <c r="AG652" s="38" t="s">
        <v>549</v>
      </c>
      <c r="AH652" s="38" t="s">
        <v>549</v>
      </c>
      <c r="AI652" s="38" t="s">
        <v>230</v>
      </c>
      <c r="AM652" s="38" t="s">
        <v>443</v>
      </c>
      <c r="AN652" s="38" t="s">
        <v>550</v>
      </c>
      <c r="AO652" s="38" t="s">
        <v>618</v>
      </c>
      <c r="AP652" s="38" t="s">
        <v>154</v>
      </c>
      <c r="AQ652" s="38">
        <v>4</v>
      </c>
      <c r="AR652" s="38">
        <v>4</v>
      </c>
      <c r="AS652" s="38" t="s">
        <v>404</v>
      </c>
      <c r="AW652" s="64"/>
      <c r="DG652" s="38">
        <v>0.113</v>
      </c>
      <c r="DH652" s="38">
        <v>0.114</v>
      </c>
      <c r="DI652" s="38" t="s">
        <v>552</v>
      </c>
      <c r="DS652" s="12"/>
      <c r="DU652" s="15"/>
      <c r="FA652" s="38" t="s">
        <v>855</v>
      </c>
      <c r="FC652" s="38">
        <v>30</v>
      </c>
    </row>
    <row r="653" spans="1:159" s="38" customFormat="1" x14ac:dyDescent="0.25">
      <c r="A653" s="38">
        <v>30</v>
      </c>
      <c r="B653" s="38" t="s">
        <v>545</v>
      </c>
      <c r="C653" s="38" t="s">
        <v>546</v>
      </c>
      <c r="D653" s="38">
        <v>2002</v>
      </c>
      <c r="E653" s="38">
        <v>2000</v>
      </c>
      <c r="F653" s="38" t="s">
        <v>547</v>
      </c>
      <c r="G653" s="38" t="s">
        <v>548</v>
      </c>
      <c r="H653" s="38">
        <f t="shared" si="206"/>
        <v>38.533333333333331</v>
      </c>
      <c r="I653" s="38">
        <f t="shared" si="207"/>
        <v>-121.78333333333333</v>
      </c>
      <c r="J653" s="38">
        <v>18.399999999999999</v>
      </c>
      <c r="N653" s="38">
        <v>483</v>
      </c>
      <c r="P653" s="57" t="s">
        <v>182</v>
      </c>
      <c r="Q653" s="57"/>
      <c r="R653" s="57">
        <v>36566</v>
      </c>
      <c r="S653" s="57" t="s">
        <v>1662</v>
      </c>
      <c r="T653" s="57" t="s">
        <v>1682</v>
      </c>
      <c r="V653" s="38">
        <v>36</v>
      </c>
      <c r="W653" s="38">
        <v>46</v>
      </c>
      <c r="X653" s="38" t="s">
        <v>175</v>
      </c>
      <c r="AB653" s="38" t="s">
        <v>1566</v>
      </c>
      <c r="AC653" s="38" t="s">
        <v>1817</v>
      </c>
      <c r="AD653" s="153" t="str">
        <f t="shared" si="208"/>
        <v>Common_Vetch</v>
      </c>
      <c r="AE653" s="38" t="s">
        <v>1635</v>
      </c>
      <c r="AG653" s="38" t="s">
        <v>549</v>
      </c>
      <c r="AH653" s="38" t="s">
        <v>549</v>
      </c>
      <c r="AI653" s="38" t="s">
        <v>230</v>
      </c>
      <c r="AM653" s="38" t="s">
        <v>443</v>
      </c>
      <c r="AN653" s="38" t="s">
        <v>551</v>
      </c>
      <c r="AO653" s="38" t="s">
        <v>618</v>
      </c>
      <c r="AP653" s="38" t="s">
        <v>154</v>
      </c>
      <c r="AQ653" s="38">
        <v>4</v>
      </c>
      <c r="AR653" s="38">
        <v>4</v>
      </c>
      <c r="AS653" s="38" t="s">
        <v>404</v>
      </c>
      <c r="AW653" s="64"/>
      <c r="DG653" s="38">
        <v>0.113</v>
      </c>
      <c r="DH653" s="38">
        <v>0.112</v>
      </c>
      <c r="DI653" s="38" t="s">
        <v>552</v>
      </c>
      <c r="DS653" s="12"/>
      <c r="DU653" s="15"/>
      <c r="FA653" s="38" t="s">
        <v>855</v>
      </c>
      <c r="FC653" s="38">
        <v>30</v>
      </c>
    </row>
    <row r="654" spans="1:159" s="38" customFormat="1" x14ac:dyDescent="0.25">
      <c r="A654" s="38">
        <v>30</v>
      </c>
      <c r="B654" s="38" t="s">
        <v>545</v>
      </c>
      <c r="C654" s="38" t="s">
        <v>546</v>
      </c>
      <c r="D654" s="38">
        <v>2002</v>
      </c>
      <c r="E654" s="38">
        <v>2000</v>
      </c>
      <c r="F654" s="38" t="s">
        <v>547</v>
      </c>
      <c r="G654" s="38" t="s">
        <v>548</v>
      </c>
      <c r="H654" s="38">
        <f t="shared" si="206"/>
        <v>38.533333333333331</v>
      </c>
      <c r="I654" s="38">
        <f t="shared" si="207"/>
        <v>-121.78333333333333</v>
      </c>
      <c r="J654" s="38">
        <v>18.399999999999999</v>
      </c>
      <c r="N654" s="38">
        <v>483</v>
      </c>
      <c r="P654" s="57" t="s">
        <v>182</v>
      </c>
      <c r="Q654" s="57"/>
      <c r="R654" s="57">
        <v>36572</v>
      </c>
      <c r="S654" s="57" t="s">
        <v>1662</v>
      </c>
      <c r="T654" s="57" t="s">
        <v>1682</v>
      </c>
      <c r="V654" s="38">
        <v>36</v>
      </c>
      <c r="W654" s="38">
        <v>46</v>
      </c>
      <c r="X654" s="38" t="s">
        <v>175</v>
      </c>
      <c r="AB654" s="38" t="s">
        <v>1566</v>
      </c>
      <c r="AC654" s="38" t="s">
        <v>1817</v>
      </c>
      <c r="AD654" s="153" t="str">
        <f t="shared" si="208"/>
        <v>Common_Vetch</v>
      </c>
      <c r="AE654" s="38" t="s">
        <v>1635</v>
      </c>
      <c r="AG654" s="38" t="s">
        <v>549</v>
      </c>
      <c r="AH654" s="38" t="s">
        <v>549</v>
      </c>
      <c r="AI654" s="38" t="s">
        <v>230</v>
      </c>
      <c r="AM654" s="38" t="s">
        <v>443</v>
      </c>
      <c r="AN654" s="38" t="s">
        <v>550</v>
      </c>
      <c r="AO654" s="38" t="s">
        <v>618</v>
      </c>
      <c r="AP654" s="38" t="s">
        <v>154</v>
      </c>
      <c r="AQ654" s="38">
        <v>4</v>
      </c>
      <c r="AR654" s="38">
        <v>4</v>
      </c>
      <c r="AS654" s="38" t="s">
        <v>404</v>
      </c>
      <c r="AW654" s="64"/>
      <c r="DG654" s="38">
        <v>0.1318</v>
      </c>
      <c r="DH654" s="38">
        <v>0.1318</v>
      </c>
      <c r="DI654" s="38" t="s">
        <v>552</v>
      </c>
      <c r="DS654" s="12"/>
      <c r="DU654" s="15"/>
      <c r="FA654" s="38" t="s">
        <v>855</v>
      </c>
      <c r="FC654" s="38">
        <v>30</v>
      </c>
    </row>
    <row r="655" spans="1:159" s="38" customFormat="1" x14ac:dyDescent="0.25">
      <c r="A655" s="38">
        <v>30</v>
      </c>
      <c r="B655" s="38" t="s">
        <v>545</v>
      </c>
      <c r="C655" s="38" t="s">
        <v>546</v>
      </c>
      <c r="D655" s="38">
        <v>2002</v>
      </c>
      <c r="E655" s="38">
        <v>2000</v>
      </c>
      <c r="F655" s="38" t="s">
        <v>547</v>
      </c>
      <c r="G655" s="38" t="s">
        <v>548</v>
      </c>
      <c r="H655" s="38">
        <f t="shared" si="206"/>
        <v>38.533333333333331</v>
      </c>
      <c r="I655" s="38">
        <f t="shared" si="207"/>
        <v>-121.78333333333333</v>
      </c>
      <c r="J655" s="38">
        <v>18.399999999999999</v>
      </c>
      <c r="N655" s="38">
        <v>483</v>
      </c>
      <c r="P655" s="57" t="s">
        <v>182</v>
      </c>
      <c r="Q655" s="57"/>
      <c r="R655" s="57">
        <v>36572</v>
      </c>
      <c r="S655" s="57" t="s">
        <v>1662</v>
      </c>
      <c r="T655" s="57" t="s">
        <v>1682</v>
      </c>
      <c r="V655" s="38">
        <v>36</v>
      </c>
      <c r="W655" s="38">
        <v>46</v>
      </c>
      <c r="X655" s="38" t="s">
        <v>175</v>
      </c>
      <c r="AB655" s="38" t="s">
        <v>1566</v>
      </c>
      <c r="AC655" s="38" t="s">
        <v>1817</v>
      </c>
      <c r="AD655" s="153" t="str">
        <f t="shared" si="208"/>
        <v>Common_Vetch</v>
      </c>
      <c r="AE655" s="38" t="s">
        <v>1635</v>
      </c>
      <c r="AG655" s="38" t="s">
        <v>549</v>
      </c>
      <c r="AH655" s="38" t="s">
        <v>549</v>
      </c>
      <c r="AI655" s="38" t="s">
        <v>230</v>
      </c>
      <c r="AM655" s="38" t="s">
        <v>443</v>
      </c>
      <c r="AN655" s="38" t="s">
        <v>551</v>
      </c>
      <c r="AO655" s="38" t="s">
        <v>618</v>
      </c>
      <c r="AP655" s="38" t="s">
        <v>154</v>
      </c>
      <c r="AQ655" s="38">
        <v>4</v>
      </c>
      <c r="AR655" s="38">
        <v>4</v>
      </c>
      <c r="AS655" s="38" t="s">
        <v>404</v>
      </c>
      <c r="AW655" s="64"/>
      <c r="DG655" s="38">
        <v>0.1318</v>
      </c>
      <c r="DH655" s="38">
        <v>0.14699999999999999</v>
      </c>
      <c r="DI655" s="38" t="s">
        <v>552</v>
      </c>
      <c r="DS655" s="12"/>
      <c r="DU655" s="15"/>
      <c r="FA655" s="38" t="s">
        <v>855</v>
      </c>
      <c r="FC655" s="38">
        <v>30</v>
      </c>
    </row>
    <row r="656" spans="1:159" s="38" customFormat="1" x14ac:dyDescent="0.25">
      <c r="A656" s="38">
        <v>30</v>
      </c>
      <c r="B656" s="38" t="s">
        <v>545</v>
      </c>
      <c r="C656" s="38" t="s">
        <v>546</v>
      </c>
      <c r="D656" s="38">
        <v>2002</v>
      </c>
      <c r="E656" s="38">
        <v>2000</v>
      </c>
      <c r="F656" s="38" t="s">
        <v>547</v>
      </c>
      <c r="G656" s="38" t="s">
        <v>548</v>
      </c>
      <c r="H656" s="38">
        <f t="shared" si="206"/>
        <v>38.533333333333331</v>
      </c>
      <c r="I656" s="38">
        <f t="shared" si="207"/>
        <v>-121.78333333333333</v>
      </c>
      <c r="J656" s="38">
        <v>18.399999999999999</v>
      </c>
      <c r="N656" s="38">
        <v>483</v>
      </c>
      <c r="P656" s="57" t="s">
        <v>182</v>
      </c>
      <c r="Q656" s="57"/>
      <c r="R656" s="57">
        <v>36582</v>
      </c>
      <c r="S656" s="57" t="s">
        <v>1662</v>
      </c>
      <c r="T656" s="57" t="s">
        <v>1682</v>
      </c>
      <c r="V656" s="38">
        <v>36</v>
      </c>
      <c r="W656" s="38">
        <v>46</v>
      </c>
      <c r="X656" s="38" t="s">
        <v>175</v>
      </c>
      <c r="AB656" s="38" t="s">
        <v>1566</v>
      </c>
      <c r="AC656" s="38" t="s">
        <v>1817</v>
      </c>
      <c r="AD656" s="153" t="str">
        <f t="shared" si="208"/>
        <v>Common_Vetch</v>
      </c>
      <c r="AE656" s="38" t="s">
        <v>1635</v>
      </c>
      <c r="AG656" s="38" t="s">
        <v>549</v>
      </c>
      <c r="AH656" s="38" t="s">
        <v>549</v>
      </c>
      <c r="AI656" s="38" t="s">
        <v>230</v>
      </c>
      <c r="AM656" s="38" t="s">
        <v>443</v>
      </c>
      <c r="AN656" s="38" t="s">
        <v>550</v>
      </c>
      <c r="AO656" s="38" t="s">
        <v>618</v>
      </c>
      <c r="AP656" s="38" t="s">
        <v>154</v>
      </c>
      <c r="AQ656" s="38">
        <v>4</v>
      </c>
      <c r="AR656" s="38">
        <v>4</v>
      </c>
      <c r="AS656" s="38" t="s">
        <v>404</v>
      </c>
      <c r="AW656" s="64"/>
      <c r="DG656" s="38">
        <v>0.14610000000000001</v>
      </c>
      <c r="DH656" s="38">
        <v>0.16400000000000001</v>
      </c>
      <c r="DI656" s="38" t="s">
        <v>552</v>
      </c>
      <c r="DS656" s="12"/>
      <c r="DU656" s="15"/>
      <c r="FA656" s="38" t="s">
        <v>855</v>
      </c>
      <c r="FC656" s="38">
        <v>30</v>
      </c>
    </row>
    <row r="657" spans="1:159" s="38" customFormat="1" x14ac:dyDescent="0.25">
      <c r="A657" s="38">
        <v>30</v>
      </c>
      <c r="B657" s="38" t="s">
        <v>545</v>
      </c>
      <c r="C657" s="38" t="s">
        <v>546</v>
      </c>
      <c r="D657" s="38">
        <v>2002</v>
      </c>
      <c r="E657" s="38">
        <v>2000</v>
      </c>
      <c r="F657" s="38" t="s">
        <v>547</v>
      </c>
      <c r="G657" s="38" t="s">
        <v>548</v>
      </c>
      <c r="H657" s="38">
        <f t="shared" si="206"/>
        <v>38.533333333333331</v>
      </c>
      <c r="I657" s="38">
        <f t="shared" si="207"/>
        <v>-121.78333333333333</v>
      </c>
      <c r="J657" s="38">
        <v>18.399999999999999</v>
      </c>
      <c r="N657" s="38">
        <v>483</v>
      </c>
      <c r="P657" s="57" t="s">
        <v>182</v>
      </c>
      <c r="Q657" s="57"/>
      <c r="R657" s="57">
        <v>36582</v>
      </c>
      <c r="S657" s="57" t="s">
        <v>1662</v>
      </c>
      <c r="T657" s="57" t="s">
        <v>1682</v>
      </c>
      <c r="V657" s="38">
        <v>36</v>
      </c>
      <c r="W657" s="38">
        <v>46</v>
      </c>
      <c r="X657" s="38" t="s">
        <v>175</v>
      </c>
      <c r="AB657" s="38" t="s">
        <v>1566</v>
      </c>
      <c r="AC657" s="38" t="s">
        <v>1817</v>
      </c>
      <c r="AD657" s="153" t="str">
        <f t="shared" si="208"/>
        <v>Common_Vetch</v>
      </c>
      <c r="AE657" s="38" t="s">
        <v>1635</v>
      </c>
      <c r="AG657" s="38" t="s">
        <v>549</v>
      </c>
      <c r="AH657" s="38" t="s">
        <v>549</v>
      </c>
      <c r="AI657" s="38" t="s">
        <v>230</v>
      </c>
      <c r="AM657" s="38" t="s">
        <v>443</v>
      </c>
      <c r="AN657" s="38" t="s">
        <v>551</v>
      </c>
      <c r="AO657" s="38" t="s">
        <v>618</v>
      </c>
      <c r="AP657" s="38" t="s">
        <v>154</v>
      </c>
      <c r="AQ657" s="38">
        <v>4</v>
      </c>
      <c r="AR657" s="38">
        <v>4</v>
      </c>
      <c r="AS657" s="38" t="s">
        <v>404</v>
      </c>
      <c r="AW657" s="64"/>
      <c r="DG657" s="38">
        <v>0.14610000000000001</v>
      </c>
      <c r="DH657" s="38">
        <v>0.1658</v>
      </c>
      <c r="DI657" s="38" t="s">
        <v>552</v>
      </c>
      <c r="DS657" s="12"/>
      <c r="DU657" s="15"/>
      <c r="FA657" s="38" t="s">
        <v>855</v>
      </c>
      <c r="FC657" s="38">
        <v>30</v>
      </c>
    </row>
    <row r="658" spans="1:159" s="38" customFormat="1" x14ac:dyDescent="0.25">
      <c r="A658" s="38">
        <v>30</v>
      </c>
      <c r="B658" s="38" t="s">
        <v>545</v>
      </c>
      <c r="C658" s="38" t="s">
        <v>546</v>
      </c>
      <c r="D658" s="38">
        <v>2002</v>
      </c>
      <c r="E658" s="38">
        <v>2000</v>
      </c>
      <c r="F658" s="38" t="s">
        <v>547</v>
      </c>
      <c r="G658" s="38" t="s">
        <v>548</v>
      </c>
      <c r="H658" s="38">
        <f t="shared" si="206"/>
        <v>38.533333333333331</v>
      </c>
      <c r="I658" s="38">
        <f t="shared" si="207"/>
        <v>-121.78333333333333</v>
      </c>
      <c r="J658" s="38">
        <v>18.399999999999999</v>
      </c>
      <c r="N658" s="38">
        <v>483</v>
      </c>
      <c r="P658" s="57" t="s">
        <v>182</v>
      </c>
      <c r="Q658" s="57"/>
      <c r="R658" s="57">
        <v>36587</v>
      </c>
      <c r="S658" s="57" t="s">
        <v>1662</v>
      </c>
      <c r="T658" s="57" t="s">
        <v>1682</v>
      </c>
      <c r="V658" s="38">
        <v>36</v>
      </c>
      <c r="W658" s="38">
        <v>46</v>
      </c>
      <c r="X658" s="38" t="s">
        <v>175</v>
      </c>
      <c r="AB658" s="38" t="s">
        <v>1566</v>
      </c>
      <c r="AC658" s="38" t="s">
        <v>1817</v>
      </c>
      <c r="AD658" s="153" t="str">
        <f t="shared" si="208"/>
        <v>Common_Vetch</v>
      </c>
      <c r="AE658" s="38" t="s">
        <v>1635</v>
      </c>
      <c r="AG658" s="38" t="s">
        <v>549</v>
      </c>
      <c r="AH658" s="38" t="s">
        <v>549</v>
      </c>
      <c r="AI658" s="38" t="s">
        <v>230</v>
      </c>
      <c r="AM658" s="38" t="s">
        <v>443</v>
      </c>
      <c r="AN658" s="38" t="s">
        <v>550</v>
      </c>
      <c r="AO658" s="38" t="s">
        <v>618</v>
      </c>
      <c r="AP658" s="38" t="s">
        <v>154</v>
      </c>
      <c r="AQ658" s="38">
        <v>4</v>
      </c>
      <c r="AR658" s="38">
        <v>4</v>
      </c>
      <c r="AS658" s="38" t="s">
        <v>404</v>
      </c>
      <c r="AW658" s="64"/>
      <c r="DG658" s="38">
        <v>0.15140000000000001</v>
      </c>
      <c r="DH658" s="38">
        <v>0.18720000000000001</v>
      </c>
      <c r="DI658" s="38" t="s">
        <v>552</v>
      </c>
      <c r="DS658" s="12"/>
      <c r="DU658" s="15"/>
      <c r="FA658" s="38" t="s">
        <v>855</v>
      </c>
      <c r="FC658" s="38">
        <v>30</v>
      </c>
    </row>
    <row r="659" spans="1:159" s="38" customFormat="1" x14ac:dyDescent="0.25">
      <c r="A659" s="38">
        <v>30</v>
      </c>
      <c r="B659" s="38" t="s">
        <v>545</v>
      </c>
      <c r="C659" s="38" t="s">
        <v>546</v>
      </c>
      <c r="D659" s="38">
        <v>2002</v>
      </c>
      <c r="E659" s="38">
        <v>2000</v>
      </c>
      <c r="F659" s="38" t="s">
        <v>547</v>
      </c>
      <c r="G659" s="38" t="s">
        <v>548</v>
      </c>
      <c r="H659" s="38">
        <f t="shared" si="206"/>
        <v>38.533333333333331</v>
      </c>
      <c r="I659" s="38">
        <f t="shared" si="207"/>
        <v>-121.78333333333333</v>
      </c>
      <c r="J659" s="38">
        <v>18.399999999999999</v>
      </c>
      <c r="N659" s="38">
        <v>483</v>
      </c>
      <c r="P659" s="57" t="s">
        <v>182</v>
      </c>
      <c r="Q659" s="57"/>
      <c r="R659" s="57">
        <v>36587</v>
      </c>
      <c r="S659" s="57" t="s">
        <v>1662</v>
      </c>
      <c r="T659" s="57" t="s">
        <v>1682</v>
      </c>
      <c r="V659" s="38">
        <v>36</v>
      </c>
      <c r="W659" s="38">
        <v>46</v>
      </c>
      <c r="X659" s="38" t="s">
        <v>175</v>
      </c>
      <c r="AB659" s="38" t="s">
        <v>1566</v>
      </c>
      <c r="AC659" s="38" t="s">
        <v>1817</v>
      </c>
      <c r="AD659" s="153" t="str">
        <f t="shared" si="208"/>
        <v>Common_Vetch</v>
      </c>
      <c r="AE659" s="38" t="s">
        <v>1635</v>
      </c>
      <c r="AG659" s="38" t="s">
        <v>549</v>
      </c>
      <c r="AH659" s="38" t="s">
        <v>549</v>
      </c>
      <c r="AI659" s="38" t="s">
        <v>230</v>
      </c>
      <c r="AM659" s="38" t="s">
        <v>443</v>
      </c>
      <c r="AN659" s="38" t="s">
        <v>551</v>
      </c>
      <c r="AO659" s="38" t="s">
        <v>618</v>
      </c>
      <c r="AP659" s="38" t="s">
        <v>154</v>
      </c>
      <c r="AQ659" s="38">
        <v>4</v>
      </c>
      <c r="AR659" s="38">
        <v>4</v>
      </c>
      <c r="AS659" s="38" t="s">
        <v>404</v>
      </c>
      <c r="AW659" s="64"/>
      <c r="DG659" s="38">
        <v>0.15140000000000001</v>
      </c>
      <c r="DH659" s="38">
        <v>0.1792</v>
      </c>
      <c r="DI659" s="38" t="s">
        <v>552</v>
      </c>
      <c r="DS659" s="12"/>
      <c r="DU659" s="15"/>
      <c r="FA659" s="38" t="s">
        <v>855</v>
      </c>
      <c r="FC659" s="38">
        <v>30</v>
      </c>
    </row>
    <row r="660" spans="1:159" s="38" customFormat="1" x14ac:dyDescent="0.25">
      <c r="A660" s="38">
        <v>30</v>
      </c>
      <c r="B660" s="38" t="s">
        <v>545</v>
      </c>
      <c r="C660" s="38" t="s">
        <v>546</v>
      </c>
      <c r="D660" s="38">
        <v>2002</v>
      </c>
      <c r="E660" s="38">
        <v>2000</v>
      </c>
      <c r="F660" s="38" t="s">
        <v>547</v>
      </c>
      <c r="G660" s="38" t="s">
        <v>548</v>
      </c>
      <c r="H660" s="38">
        <f t="shared" si="206"/>
        <v>38.533333333333331</v>
      </c>
      <c r="I660" s="38">
        <f t="shared" si="207"/>
        <v>-121.78333333333333</v>
      </c>
      <c r="J660" s="38">
        <v>18.399999999999999</v>
      </c>
      <c r="N660" s="38">
        <v>483</v>
      </c>
      <c r="P660" s="57" t="s">
        <v>182</v>
      </c>
      <c r="Q660" s="57"/>
      <c r="R660" s="57">
        <v>36598</v>
      </c>
      <c r="S660" s="57" t="s">
        <v>1662</v>
      </c>
      <c r="T660" s="57" t="s">
        <v>1682</v>
      </c>
      <c r="V660" s="38">
        <v>36</v>
      </c>
      <c r="W660" s="38">
        <v>46</v>
      </c>
      <c r="X660" s="38" t="s">
        <v>175</v>
      </c>
      <c r="AB660" s="38" t="s">
        <v>1566</v>
      </c>
      <c r="AC660" s="38" t="s">
        <v>1817</v>
      </c>
      <c r="AD660" s="153" t="str">
        <f t="shared" si="208"/>
        <v>Common_Vetch</v>
      </c>
      <c r="AE660" s="38" t="s">
        <v>1635</v>
      </c>
      <c r="AG660" s="38" t="s">
        <v>549</v>
      </c>
      <c r="AH660" s="38" t="s">
        <v>549</v>
      </c>
      <c r="AI660" s="38" t="s">
        <v>230</v>
      </c>
      <c r="AM660" s="38" t="s">
        <v>443</v>
      </c>
      <c r="AN660" s="38" t="s">
        <v>550</v>
      </c>
      <c r="AO660" s="38" t="s">
        <v>618</v>
      </c>
      <c r="AP660" s="38" t="s">
        <v>154</v>
      </c>
      <c r="AQ660" s="38">
        <v>4</v>
      </c>
      <c r="AR660" s="38">
        <v>4</v>
      </c>
      <c r="AS660" s="38" t="s">
        <v>404</v>
      </c>
      <c r="AW660" s="64"/>
      <c r="DG660" s="38">
        <v>0.14960000000000001</v>
      </c>
      <c r="DH660" s="38">
        <v>0.1953</v>
      </c>
      <c r="DI660" s="38" t="s">
        <v>552</v>
      </c>
      <c r="DS660" s="12"/>
      <c r="DU660" s="15"/>
      <c r="FA660" s="38" t="s">
        <v>855</v>
      </c>
      <c r="FC660" s="38">
        <v>30</v>
      </c>
    </row>
    <row r="661" spans="1:159" s="38" customFormat="1" x14ac:dyDescent="0.25">
      <c r="A661" s="38">
        <v>30</v>
      </c>
      <c r="B661" s="38" t="s">
        <v>545</v>
      </c>
      <c r="C661" s="38" t="s">
        <v>546</v>
      </c>
      <c r="D661" s="38">
        <v>2002</v>
      </c>
      <c r="E661" s="38">
        <v>2000</v>
      </c>
      <c r="F661" s="38" t="s">
        <v>547</v>
      </c>
      <c r="G661" s="38" t="s">
        <v>548</v>
      </c>
      <c r="H661" s="38">
        <f t="shared" si="206"/>
        <v>38.533333333333331</v>
      </c>
      <c r="I661" s="38">
        <f t="shared" si="207"/>
        <v>-121.78333333333333</v>
      </c>
      <c r="J661" s="38">
        <v>18.399999999999999</v>
      </c>
      <c r="N661" s="38">
        <v>483</v>
      </c>
      <c r="P661" s="57" t="s">
        <v>182</v>
      </c>
      <c r="Q661" s="57"/>
      <c r="R661" s="57">
        <v>36598</v>
      </c>
      <c r="S661" s="57" t="s">
        <v>1662</v>
      </c>
      <c r="T661" s="57" t="s">
        <v>1682</v>
      </c>
      <c r="V661" s="38">
        <v>36</v>
      </c>
      <c r="W661" s="38">
        <v>46</v>
      </c>
      <c r="X661" s="38" t="s">
        <v>175</v>
      </c>
      <c r="AB661" s="38" t="s">
        <v>1566</v>
      </c>
      <c r="AC661" s="38" t="s">
        <v>1817</v>
      </c>
      <c r="AD661" s="153" t="str">
        <f t="shared" si="208"/>
        <v>Common_Vetch</v>
      </c>
      <c r="AE661" s="38" t="s">
        <v>1635</v>
      </c>
      <c r="AG661" s="38" t="s">
        <v>549</v>
      </c>
      <c r="AH661" s="38" t="s">
        <v>549</v>
      </c>
      <c r="AI661" s="38" t="s">
        <v>230</v>
      </c>
      <c r="AM661" s="38" t="s">
        <v>443</v>
      </c>
      <c r="AN661" s="38" t="s">
        <v>551</v>
      </c>
      <c r="AO661" s="38" t="s">
        <v>618</v>
      </c>
      <c r="AP661" s="38" t="s">
        <v>154</v>
      </c>
      <c r="AQ661" s="38">
        <v>4</v>
      </c>
      <c r="AR661" s="38">
        <v>4</v>
      </c>
      <c r="AS661" s="38" t="s">
        <v>404</v>
      </c>
      <c r="AW661" s="64"/>
      <c r="DG661" s="38">
        <v>0.14960000000000001</v>
      </c>
      <c r="DH661" s="38">
        <v>0.18540000000000001</v>
      </c>
      <c r="DI661" s="38" t="s">
        <v>552</v>
      </c>
      <c r="DS661" s="12"/>
      <c r="DU661" s="15"/>
      <c r="FA661" s="38" t="s">
        <v>855</v>
      </c>
      <c r="FC661" s="38">
        <v>30</v>
      </c>
    </row>
    <row r="662" spans="1:159" s="23" customFormat="1" x14ac:dyDescent="0.25">
      <c r="A662" s="23">
        <v>30</v>
      </c>
      <c r="B662" s="23" t="s">
        <v>545</v>
      </c>
      <c r="C662" s="23" t="s">
        <v>546</v>
      </c>
      <c r="D662" s="23">
        <v>2002</v>
      </c>
      <c r="E662" s="23">
        <v>1998</v>
      </c>
      <c r="F662" s="23" t="s">
        <v>547</v>
      </c>
      <c r="G662" s="23" t="s">
        <v>548</v>
      </c>
      <c r="H662" s="23">
        <f t="shared" ref="H662:H693" si="209">38+32/60</f>
        <v>38.533333333333331</v>
      </c>
      <c r="I662" s="23">
        <f t="shared" ref="I662:I693" si="210">-121-47/60</f>
        <v>-121.78333333333333</v>
      </c>
      <c r="J662" s="23">
        <v>18.399999999999999</v>
      </c>
      <c r="N662" s="23">
        <v>483</v>
      </c>
      <c r="P662" s="53" t="s">
        <v>180</v>
      </c>
      <c r="Q662" s="53"/>
      <c r="R662" s="53">
        <v>36145</v>
      </c>
      <c r="S662" s="53" t="s">
        <v>1663</v>
      </c>
      <c r="T662" s="53" t="s">
        <v>1682</v>
      </c>
      <c r="V662" s="23">
        <v>36</v>
      </c>
      <c r="W662" s="23">
        <v>46</v>
      </c>
      <c r="X662" s="23" t="s">
        <v>175</v>
      </c>
      <c r="AB662" s="23" t="s">
        <v>1566</v>
      </c>
      <c r="AC662" s="23" t="s">
        <v>1817</v>
      </c>
      <c r="AD662" s="153" t="str">
        <f t="shared" si="208"/>
        <v>Common_Vetch</v>
      </c>
      <c r="AE662" s="23" t="s">
        <v>1635</v>
      </c>
      <c r="AG662" s="23" t="s">
        <v>549</v>
      </c>
      <c r="AH662" s="23" t="s">
        <v>549</v>
      </c>
      <c r="AI662" s="23" t="s">
        <v>230</v>
      </c>
      <c r="AM662" s="23" t="s">
        <v>443</v>
      </c>
      <c r="AN662" s="23" t="s">
        <v>550</v>
      </c>
      <c r="AO662" s="23" t="s">
        <v>618</v>
      </c>
      <c r="AP662" s="23" t="s">
        <v>154</v>
      </c>
      <c r="AQ662" s="23">
        <v>4</v>
      </c>
      <c r="AR662" s="23">
        <v>4</v>
      </c>
      <c r="AS662" s="23" t="s">
        <v>404</v>
      </c>
      <c r="AW662" s="64"/>
      <c r="DG662" s="23">
        <v>0.14299999999999999</v>
      </c>
      <c r="DH662" s="23">
        <v>0.19539999999999999</v>
      </c>
      <c r="DI662" s="23" t="s">
        <v>552</v>
      </c>
      <c r="DS662" s="12"/>
      <c r="DU662" s="15"/>
      <c r="FA662" s="23" t="s">
        <v>855</v>
      </c>
      <c r="FC662" s="23">
        <v>30</v>
      </c>
    </row>
    <row r="663" spans="1:159" s="23" customFormat="1" x14ac:dyDescent="0.25">
      <c r="A663" s="23">
        <v>30</v>
      </c>
      <c r="B663" s="23" t="s">
        <v>545</v>
      </c>
      <c r="C663" s="23" t="s">
        <v>546</v>
      </c>
      <c r="D663" s="23">
        <v>2002</v>
      </c>
      <c r="E663" s="23">
        <v>1998</v>
      </c>
      <c r="F663" s="23" t="s">
        <v>547</v>
      </c>
      <c r="G663" s="23" t="s">
        <v>548</v>
      </c>
      <c r="H663" s="23">
        <f t="shared" si="209"/>
        <v>38.533333333333331</v>
      </c>
      <c r="I663" s="23">
        <f t="shared" si="210"/>
        <v>-121.78333333333333</v>
      </c>
      <c r="J663" s="23">
        <v>18.399999999999999</v>
      </c>
      <c r="N663" s="23">
        <v>483</v>
      </c>
      <c r="P663" s="53" t="s">
        <v>180</v>
      </c>
      <c r="Q663" s="53"/>
      <c r="R663" s="53">
        <v>36145</v>
      </c>
      <c r="S663" s="53" t="s">
        <v>1663</v>
      </c>
      <c r="T663" s="53" t="s">
        <v>1682</v>
      </c>
      <c r="V663" s="23">
        <v>36</v>
      </c>
      <c r="W663" s="23">
        <v>46</v>
      </c>
      <c r="X663" s="23" t="s">
        <v>175</v>
      </c>
      <c r="AB663" s="23" t="s">
        <v>1566</v>
      </c>
      <c r="AC663" s="23" t="s">
        <v>1817</v>
      </c>
      <c r="AD663" s="153" t="str">
        <f t="shared" si="208"/>
        <v>Common_Vetch</v>
      </c>
      <c r="AE663" s="23" t="s">
        <v>1635</v>
      </c>
      <c r="AG663" s="23" t="s">
        <v>549</v>
      </c>
      <c r="AH663" s="23" t="s">
        <v>549</v>
      </c>
      <c r="AI663" s="23" t="s">
        <v>230</v>
      </c>
      <c r="AM663" s="23" t="s">
        <v>443</v>
      </c>
      <c r="AN663" s="23" t="s">
        <v>551</v>
      </c>
      <c r="AO663" s="23" t="s">
        <v>618</v>
      </c>
      <c r="AP663" s="23" t="s">
        <v>154</v>
      </c>
      <c r="AQ663" s="23">
        <v>4</v>
      </c>
      <c r="AR663" s="23">
        <v>4</v>
      </c>
      <c r="AS663" s="23" t="s">
        <v>404</v>
      </c>
      <c r="AW663" s="64"/>
      <c r="DG663" s="23">
        <v>0.14299999999999999</v>
      </c>
      <c r="DH663" s="23">
        <v>0.17799999999999999</v>
      </c>
      <c r="DI663" s="23" t="s">
        <v>552</v>
      </c>
      <c r="DS663" s="12"/>
      <c r="DU663" s="15"/>
      <c r="FA663" s="23" t="s">
        <v>855</v>
      </c>
      <c r="FC663" s="23">
        <v>30</v>
      </c>
    </row>
    <row r="664" spans="1:159" s="23" customFormat="1" x14ac:dyDescent="0.25">
      <c r="A664" s="23">
        <v>30</v>
      </c>
      <c r="B664" s="23" t="s">
        <v>545</v>
      </c>
      <c r="C664" s="23" t="s">
        <v>546</v>
      </c>
      <c r="D664" s="23">
        <v>2002</v>
      </c>
      <c r="E664" s="23">
        <v>1999</v>
      </c>
      <c r="F664" s="23" t="s">
        <v>547</v>
      </c>
      <c r="G664" s="23" t="s">
        <v>548</v>
      </c>
      <c r="H664" s="23">
        <f t="shared" si="209"/>
        <v>38.533333333333331</v>
      </c>
      <c r="I664" s="23">
        <f t="shared" si="210"/>
        <v>-121.78333333333333</v>
      </c>
      <c r="J664" s="23">
        <v>18.399999999999999</v>
      </c>
      <c r="N664" s="23">
        <v>483</v>
      </c>
      <c r="P664" s="53" t="s">
        <v>181</v>
      </c>
      <c r="Q664" s="53"/>
      <c r="R664" s="53">
        <v>36170</v>
      </c>
      <c r="S664" s="53" t="s">
        <v>1663</v>
      </c>
      <c r="T664" s="53" t="s">
        <v>1682</v>
      </c>
      <c r="V664" s="23">
        <v>36</v>
      </c>
      <c r="W664" s="23">
        <v>46</v>
      </c>
      <c r="X664" s="23" t="s">
        <v>175</v>
      </c>
      <c r="AB664" s="23" t="s">
        <v>1566</v>
      </c>
      <c r="AC664" s="23" t="s">
        <v>1817</v>
      </c>
      <c r="AD664" s="153" t="str">
        <f t="shared" si="208"/>
        <v>Common_Vetch</v>
      </c>
      <c r="AE664" s="23" t="s">
        <v>1635</v>
      </c>
      <c r="AG664" s="23" t="s">
        <v>549</v>
      </c>
      <c r="AH664" s="23" t="s">
        <v>549</v>
      </c>
      <c r="AI664" s="23" t="s">
        <v>230</v>
      </c>
      <c r="AM664" s="23" t="s">
        <v>443</v>
      </c>
      <c r="AN664" s="23" t="s">
        <v>550</v>
      </c>
      <c r="AO664" s="23" t="s">
        <v>618</v>
      </c>
      <c r="AP664" s="23" t="s">
        <v>154</v>
      </c>
      <c r="AQ664" s="23">
        <v>4</v>
      </c>
      <c r="AR664" s="23">
        <v>4</v>
      </c>
      <c r="AS664" s="23" t="s">
        <v>404</v>
      </c>
      <c r="AW664" s="64"/>
      <c r="DG664" s="23">
        <v>0.13950000000000001</v>
      </c>
      <c r="DH664" s="23">
        <v>0.1789</v>
      </c>
      <c r="DI664" s="23" t="s">
        <v>552</v>
      </c>
      <c r="DS664" s="12"/>
      <c r="DU664" s="15"/>
      <c r="FA664" s="23" t="s">
        <v>855</v>
      </c>
      <c r="FC664" s="23">
        <v>30</v>
      </c>
    </row>
    <row r="665" spans="1:159" s="23" customFormat="1" x14ac:dyDescent="0.25">
      <c r="A665" s="23">
        <v>30</v>
      </c>
      <c r="B665" s="23" t="s">
        <v>545</v>
      </c>
      <c r="C665" s="23" t="s">
        <v>546</v>
      </c>
      <c r="D665" s="23">
        <v>2002</v>
      </c>
      <c r="E665" s="23">
        <v>1999</v>
      </c>
      <c r="F665" s="23" t="s">
        <v>547</v>
      </c>
      <c r="G665" s="23" t="s">
        <v>548</v>
      </c>
      <c r="H665" s="23">
        <f t="shared" si="209"/>
        <v>38.533333333333331</v>
      </c>
      <c r="I665" s="23">
        <f t="shared" si="210"/>
        <v>-121.78333333333333</v>
      </c>
      <c r="J665" s="23">
        <v>18.399999999999999</v>
      </c>
      <c r="N665" s="23">
        <v>483</v>
      </c>
      <c r="P665" s="53" t="s">
        <v>181</v>
      </c>
      <c r="Q665" s="53"/>
      <c r="R665" s="53">
        <v>36170</v>
      </c>
      <c r="S665" s="53" t="s">
        <v>1663</v>
      </c>
      <c r="T665" s="53" t="s">
        <v>1682</v>
      </c>
      <c r="V665" s="23">
        <v>36</v>
      </c>
      <c r="W665" s="23">
        <v>46</v>
      </c>
      <c r="X665" s="23" t="s">
        <v>175</v>
      </c>
      <c r="AB665" s="23" t="s">
        <v>1566</v>
      </c>
      <c r="AC665" s="23" t="s">
        <v>1817</v>
      </c>
      <c r="AD665" s="153" t="str">
        <f t="shared" si="208"/>
        <v>Common_Vetch</v>
      </c>
      <c r="AE665" s="23" t="s">
        <v>1635</v>
      </c>
      <c r="AG665" s="23" t="s">
        <v>549</v>
      </c>
      <c r="AH665" s="23" t="s">
        <v>549</v>
      </c>
      <c r="AI665" s="23" t="s">
        <v>230</v>
      </c>
      <c r="AM665" s="23" t="s">
        <v>443</v>
      </c>
      <c r="AN665" s="23" t="s">
        <v>551</v>
      </c>
      <c r="AO665" s="23" t="s">
        <v>618</v>
      </c>
      <c r="AP665" s="23" t="s">
        <v>154</v>
      </c>
      <c r="AQ665" s="23">
        <v>4</v>
      </c>
      <c r="AR665" s="23">
        <v>4</v>
      </c>
      <c r="AS665" s="23" t="s">
        <v>404</v>
      </c>
      <c r="AW665" s="64"/>
      <c r="DG665" s="23">
        <v>0.13950000000000001</v>
      </c>
      <c r="DH665" s="23">
        <v>0.16889999999999999</v>
      </c>
      <c r="DI665" s="23" t="s">
        <v>552</v>
      </c>
      <c r="DS665" s="12"/>
      <c r="DU665" s="15"/>
      <c r="FA665" s="23" t="s">
        <v>855</v>
      </c>
      <c r="FC665" s="23">
        <v>30</v>
      </c>
    </row>
    <row r="666" spans="1:159" s="23" customFormat="1" x14ac:dyDescent="0.25">
      <c r="A666" s="23">
        <v>30</v>
      </c>
      <c r="B666" s="23" t="s">
        <v>545</v>
      </c>
      <c r="C666" s="23" t="s">
        <v>546</v>
      </c>
      <c r="D666" s="23">
        <v>2002</v>
      </c>
      <c r="E666" s="23">
        <v>1999</v>
      </c>
      <c r="F666" s="23" t="s">
        <v>547</v>
      </c>
      <c r="G666" s="23" t="s">
        <v>548</v>
      </c>
      <c r="H666" s="23">
        <f t="shared" si="209"/>
        <v>38.533333333333331</v>
      </c>
      <c r="I666" s="23">
        <f t="shared" si="210"/>
        <v>-121.78333333333333</v>
      </c>
      <c r="J666" s="23">
        <v>18.399999999999999</v>
      </c>
      <c r="N666" s="23">
        <v>483</v>
      </c>
      <c r="P666" s="53" t="s">
        <v>181</v>
      </c>
      <c r="Q666" s="53"/>
      <c r="R666" s="53">
        <v>36187</v>
      </c>
      <c r="S666" s="53" t="s">
        <v>1663</v>
      </c>
      <c r="T666" s="53" t="s">
        <v>1682</v>
      </c>
      <c r="V666" s="23">
        <v>36</v>
      </c>
      <c r="W666" s="23">
        <v>46</v>
      </c>
      <c r="X666" s="23" t="s">
        <v>175</v>
      </c>
      <c r="AB666" s="23" t="s">
        <v>1566</v>
      </c>
      <c r="AC666" s="23" t="s">
        <v>1817</v>
      </c>
      <c r="AD666" s="153" t="str">
        <f t="shared" si="208"/>
        <v>Common_Vetch</v>
      </c>
      <c r="AE666" s="23" t="s">
        <v>1635</v>
      </c>
      <c r="AG666" s="23" t="s">
        <v>549</v>
      </c>
      <c r="AH666" s="23" t="s">
        <v>549</v>
      </c>
      <c r="AI666" s="23" t="s">
        <v>230</v>
      </c>
      <c r="AM666" s="23" t="s">
        <v>443</v>
      </c>
      <c r="AN666" s="23" t="s">
        <v>550</v>
      </c>
      <c r="AO666" s="23" t="s">
        <v>618</v>
      </c>
      <c r="AP666" s="23" t="s">
        <v>154</v>
      </c>
      <c r="AQ666" s="23">
        <v>4</v>
      </c>
      <c r="AR666" s="23">
        <v>4</v>
      </c>
      <c r="AS666" s="23" t="s">
        <v>404</v>
      </c>
      <c r="AW666" s="64"/>
      <c r="DG666" s="23">
        <v>0.1414</v>
      </c>
      <c r="DH666" s="23">
        <v>0.18820000000000001</v>
      </c>
      <c r="DI666" s="23" t="s">
        <v>552</v>
      </c>
      <c r="DS666" s="12"/>
      <c r="DU666" s="15"/>
      <c r="FA666" s="23" t="s">
        <v>855</v>
      </c>
      <c r="FC666" s="23">
        <v>30</v>
      </c>
    </row>
    <row r="667" spans="1:159" s="23" customFormat="1" x14ac:dyDescent="0.25">
      <c r="A667" s="23">
        <v>30</v>
      </c>
      <c r="B667" s="23" t="s">
        <v>545</v>
      </c>
      <c r="C667" s="23" t="s">
        <v>546</v>
      </c>
      <c r="D667" s="23">
        <v>2002</v>
      </c>
      <c r="E667" s="23">
        <v>1999</v>
      </c>
      <c r="F667" s="23" t="s">
        <v>547</v>
      </c>
      <c r="G667" s="23" t="s">
        <v>548</v>
      </c>
      <c r="H667" s="23">
        <f t="shared" si="209"/>
        <v>38.533333333333331</v>
      </c>
      <c r="I667" s="23">
        <f t="shared" si="210"/>
        <v>-121.78333333333333</v>
      </c>
      <c r="J667" s="23">
        <v>18.399999999999999</v>
      </c>
      <c r="N667" s="23">
        <v>483</v>
      </c>
      <c r="P667" s="53" t="s">
        <v>181</v>
      </c>
      <c r="Q667" s="53"/>
      <c r="R667" s="53">
        <v>36187</v>
      </c>
      <c r="S667" s="53" t="s">
        <v>1663</v>
      </c>
      <c r="T667" s="53" t="s">
        <v>1682</v>
      </c>
      <c r="V667" s="23">
        <v>36</v>
      </c>
      <c r="W667" s="23">
        <v>46</v>
      </c>
      <c r="X667" s="23" t="s">
        <v>175</v>
      </c>
      <c r="AB667" s="23" t="s">
        <v>1566</v>
      </c>
      <c r="AC667" s="23" t="s">
        <v>1817</v>
      </c>
      <c r="AD667" s="153" t="str">
        <f t="shared" si="208"/>
        <v>Common_Vetch</v>
      </c>
      <c r="AE667" s="23" t="s">
        <v>1635</v>
      </c>
      <c r="AG667" s="23" t="s">
        <v>549</v>
      </c>
      <c r="AH667" s="23" t="s">
        <v>549</v>
      </c>
      <c r="AI667" s="23" t="s">
        <v>230</v>
      </c>
      <c r="AM667" s="23" t="s">
        <v>443</v>
      </c>
      <c r="AN667" s="23" t="s">
        <v>551</v>
      </c>
      <c r="AO667" s="23" t="s">
        <v>618</v>
      </c>
      <c r="AP667" s="23" t="s">
        <v>154</v>
      </c>
      <c r="AQ667" s="23">
        <v>4</v>
      </c>
      <c r="AR667" s="23">
        <v>4</v>
      </c>
      <c r="AS667" s="23" t="s">
        <v>404</v>
      </c>
      <c r="AW667" s="64"/>
      <c r="DG667" s="23">
        <v>0.1414</v>
      </c>
      <c r="DH667" s="23">
        <v>0.17349999999999999</v>
      </c>
      <c r="DI667" s="23" t="s">
        <v>552</v>
      </c>
      <c r="DS667" s="12"/>
      <c r="DU667" s="15"/>
      <c r="FA667" s="23" t="s">
        <v>855</v>
      </c>
      <c r="FC667" s="23">
        <v>30</v>
      </c>
    </row>
    <row r="668" spans="1:159" s="23" customFormat="1" x14ac:dyDescent="0.25">
      <c r="A668" s="23">
        <v>30</v>
      </c>
      <c r="B668" s="23" t="s">
        <v>545</v>
      </c>
      <c r="C668" s="23" t="s">
        <v>546</v>
      </c>
      <c r="D668" s="23">
        <v>2002</v>
      </c>
      <c r="E668" s="23">
        <v>1999</v>
      </c>
      <c r="F668" s="23" t="s">
        <v>547</v>
      </c>
      <c r="G668" s="23" t="s">
        <v>548</v>
      </c>
      <c r="H668" s="23">
        <f t="shared" si="209"/>
        <v>38.533333333333331</v>
      </c>
      <c r="I668" s="23">
        <f t="shared" si="210"/>
        <v>-121.78333333333333</v>
      </c>
      <c r="J668" s="23">
        <v>18.399999999999999</v>
      </c>
      <c r="N668" s="23">
        <v>483</v>
      </c>
      <c r="P668" s="53" t="s">
        <v>181</v>
      </c>
      <c r="Q668" s="53"/>
      <c r="R668" s="53">
        <v>36198</v>
      </c>
      <c r="S668" s="53" t="s">
        <v>1663</v>
      </c>
      <c r="T668" s="53" t="s">
        <v>1682</v>
      </c>
      <c r="V668" s="23">
        <v>36</v>
      </c>
      <c r="W668" s="23">
        <v>46</v>
      </c>
      <c r="X668" s="23" t="s">
        <v>175</v>
      </c>
      <c r="AB668" s="23" t="s">
        <v>1566</v>
      </c>
      <c r="AC668" s="23" t="s">
        <v>1817</v>
      </c>
      <c r="AD668" s="153" t="str">
        <f t="shared" si="208"/>
        <v>Common_Vetch</v>
      </c>
      <c r="AE668" s="23" t="s">
        <v>1635</v>
      </c>
      <c r="AG668" s="23" t="s">
        <v>549</v>
      </c>
      <c r="AH668" s="23" t="s">
        <v>549</v>
      </c>
      <c r="AI668" s="23" t="s">
        <v>230</v>
      </c>
      <c r="AM668" s="23" t="s">
        <v>443</v>
      </c>
      <c r="AN668" s="23" t="s">
        <v>550</v>
      </c>
      <c r="AO668" s="23" t="s">
        <v>618</v>
      </c>
      <c r="AP668" s="23" t="s">
        <v>154</v>
      </c>
      <c r="AQ668" s="23">
        <v>4</v>
      </c>
      <c r="AR668" s="23">
        <v>4</v>
      </c>
      <c r="AS668" s="23" t="s">
        <v>404</v>
      </c>
      <c r="AW668" s="64"/>
      <c r="DG668" s="23">
        <v>0.17630000000000001</v>
      </c>
      <c r="DH668" s="23">
        <v>0.1983</v>
      </c>
      <c r="DI668" s="23" t="s">
        <v>552</v>
      </c>
      <c r="DS668" s="12"/>
      <c r="DU668" s="15"/>
      <c r="FA668" s="23" t="s">
        <v>855</v>
      </c>
      <c r="FC668" s="23">
        <v>30</v>
      </c>
    </row>
    <row r="669" spans="1:159" s="23" customFormat="1" x14ac:dyDescent="0.25">
      <c r="A669" s="23">
        <v>30</v>
      </c>
      <c r="B669" s="23" t="s">
        <v>545</v>
      </c>
      <c r="C669" s="23" t="s">
        <v>546</v>
      </c>
      <c r="D669" s="23">
        <v>2002</v>
      </c>
      <c r="E669" s="23">
        <v>1999</v>
      </c>
      <c r="F669" s="23" t="s">
        <v>547</v>
      </c>
      <c r="G669" s="23" t="s">
        <v>548</v>
      </c>
      <c r="H669" s="23">
        <f t="shared" si="209"/>
        <v>38.533333333333331</v>
      </c>
      <c r="I669" s="23">
        <f t="shared" si="210"/>
        <v>-121.78333333333333</v>
      </c>
      <c r="J669" s="23">
        <v>18.399999999999999</v>
      </c>
      <c r="N669" s="23">
        <v>483</v>
      </c>
      <c r="P669" s="53" t="s">
        <v>181</v>
      </c>
      <c r="Q669" s="53"/>
      <c r="R669" s="53">
        <v>36198</v>
      </c>
      <c r="S669" s="53" t="s">
        <v>1663</v>
      </c>
      <c r="T669" s="53" t="s">
        <v>1682</v>
      </c>
      <c r="V669" s="23">
        <v>36</v>
      </c>
      <c r="W669" s="23">
        <v>46</v>
      </c>
      <c r="X669" s="23" t="s">
        <v>175</v>
      </c>
      <c r="AB669" s="23" t="s">
        <v>1566</v>
      </c>
      <c r="AC669" s="23" t="s">
        <v>1817</v>
      </c>
      <c r="AD669" s="153" t="str">
        <f t="shared" si="208"/>
        <v>Common_Vetch</v>
      </c>
      <c r="AE669" s="23" t="s">
        <v>1635</v>
      </c>
      <c r="AG669" s="23" t="s">
        <v>549</v>
      </c>
      <c r="AH669" s="23" t="s">
        <v>549</v>
      </c>
      <c r="AI669" s="23" t="s">
        <v>230</v>
      </c>
      <c r="AM669" s="23" t="s">
        <v>443</v>
      </c>
      <c r="AN669" s="23" t="s">
        <v>551</v>
      </c>
      <c r="AO669" s="23" t="s">
        <v>618</v>
      </c>
      <c r="AP669" s="23" t="s">
        <v>154</v>
      </c>
      <c r="AQ669" s="23">
        <v>4</v>
      </c>
      <c r="AR669" s="23">
        <v>4</v>
      </c>
      <c r="AS669" s="23" t="s">
        <v>404</v>
      </c>
      <c r="AW669" s="64"/>
      <c r="DG669" s="23">
        <v>0.17630000000000001</v>
      </c>
      <c r="DH669" s="23">
        <v>0.14599999999999999</v>
      </c>
      <c r="DI669" s="23" t="s">
        <v>552</v>
      </c>
      <c r="DS669" s="12"/>
      <c r="DU669" s="15"/>
      <c r="FA669" s="23" t="s">
        <v>855</v>
      </c>
      <c r="FC669" s="23">
        <v>30</v>
      </c>
    </row>
    <row r="670" spans="1:159" s="23" customFormat="1" x14ac:dyDescent="0.25">
      <c r="A670" s="23">
        <v>30</v>
      </c>
      <c r="B670" s="23" t="s">
        <v>545</v>
      </c>
      <c r="C670" s="23" t="s">
        <v>546</v>
      </c>
      <c r="D670" s="23">
        <v>2002</v>
      </c>
      <c r="E670" s="23">
        <v>1999</v>
      </c>
      <c r="F670" s="23" t="s">
        <v>547</v>
      </c>
      <c r="G670" s="23" t="s">
        <v>548</v>
      </c>
      <c r="H670" s="23">
        <f t="shared" si="209"/>
        <v>38.533333333333331</v>
      </c>
      <c r="I670" s="23">
        <f t="shared" si="210"/>
        <v>-121.78333333333333</v>
      </c>
      <c r="J670" s="23">
        <v>18.399999999999999</v>
      </c>
      <c r="N670" s="23">
        <v>483</v>
      </c>
      <c r="P670" s="53" t="s">
        <v>181</v>
      </c>
      <c r="Q670" s="53"/>
      <c r="R670" s="53">
        <v>36232</v>
      </c>
      <c r="S670" s="53" t="s">
        <v>1663</v>
      </c>
      <c r="T670" s="53" t="s">
        <v>1682</v>
      </c>
      <c r="V670" s="23">
        <v>36</v>
      </c>
      <c r="W670" s="23">
        <v>46</v>
      </c>
      <c r="X670" s="23" t="s">
        <v>175</v>
      </c>
      <c r="AB670" s="23" t="s">
        <v>1566</v>
      </c>
      <c r="AC670" s="23" t="s">
        <v>1817</v>
      </c>
      <c r="AD670" s="153" t="str">
        <f t="shared" si="208"/>
        <v>Common_Vetch</v>
      </c>
      <c r="AE670" s="23" t="s">
        <v>1635</v>
      </c>
      <c r="AG670" s="23" t="s">
        <v>549</v>
      </c>
      <c r="AH670" s="23" t="s">
        <v>549</v>
      </c>
      <c r="AI670" s="23" t="s">
        <v>230</v>
      </c>
      <c r="AM670" s="23" t="s">
        <v>443</v>
      </c>
      <c r="AN670" s="23" t="s">
        <v>550</v>
      </c>
      <c r="AO670" s="23" t="s">
        <v>618</v>
      </c>
      <c r="AP670" s="23" t="s">
        <v>154</v>
      </c>
      <c r="AQ670" s="23">
        <v>4</v>
      </c>
      <c r="AR670" s="23">
        <v>4</v>
      </c>
      <c r="AS670" s="23" t="s">
        <v>404</v>
      </c>
      <c r="AW670" s="64"/>
      <c r="DG670" s="23">
        <v>0.1699</v>
      </c>
      <c r="DH670" s="23">
        <v>0.1837</v>
      </c>
      <c r="DI670" s="23" t="s">
        <v>552</v>
      </c>
      <c r="DS670" s="12"/>
      <c r="DU670" s="15"/>
      <c r="FA670" s="23" t="s">
        <v>855</v>
      </c>
      <c r="FC670" s="23">
        <v>30</v>
      </c>
    </row>
    <row r="671" spans="1:159" s="23" customFormat="1" x14ac:dyDescent="0.25">
      <c r="A671" s="23">
        <v>30</v>
      </c>
      <c r="B671" s="23" t="s">
        <v>545</v>
      </c>
      <c r="C671" s="23" t="s">
        <v>546</v>
      </c>
      <c r="D671" s="23">
        <v>2002</v>
      </c>
      <c r="E671" s="23">
        <v>1999</v>
      </c>
      <c r="F671" s="23" t="s">
        <v>547</v>
      </c>
      <c r="G671" s="23" t="s">
        <v>548</v>
      </c>
      <c r="H671" s="23">
        <f t="shared" si="209"/>
        <v>38.533333333333331</v>
      </c>
      <c r="I671" s="23">
        <f t="shared" si="210"/>
        <v>-121.78333333333333</v>
      </c>
      <c r="J671" s="23">
        <v>18.399999999999999</v>
      </c>
      <c r="N671" s="23">
        <v>483</v>
      </c>
      <c r="P671" s="53" t="s">
        <v>181</v>
      </c>
      <c r="Q671" s="53"/>
      <c r="R671" s="53">
        <v>36232</v>
      </c>
      <c r="S671" s="53" t="s">
        <v>1663</v>
      </c>
      <c r="T671" s="53" t="s">
        <v>1682</v>
      </c>
      <c r="V671" s="23">
        <v>36</v>
      </c>
      <c r="W671" s="23">
        <v>46</v>
      </c>
      <c r="X671" s="23" t="s">
        <v>175</v>
      </c>
      <c r="AB671" s="23" t="s">
        <v>1566</v>
      </c>
      <c r="AC671" s="23" t="s">
        <v>1817</v>
      </c>
      <c r="AD671" s="153" t="str">
        <f t="shared" si="208"/>
        <v>Common_Vetch</v>
      </c>
      <c r="AE671" s="23" t="s">
        <v>1635</v>
      </c>
      <c r="AG671" s="23" t="s">
        <v>549</v>
      </c>
      <c r="AH671" s="23" t="s">
        <v>549</v>
      </c>
      <c r="AI671" s="23" t="s">
        <v>230</v>
      </c>
      <c r="AM671" s="23" t="s">
        <v>443</v>
      </c>
      <c r="AN671" s="23" t="s">
        <v>551</v>
      </c>
      <c r="AO671" s="23" t="s">
        <v>618</v>
      </c>
      <c r="AP671" s="23" t="s">
        <v>154</v>
      </c>
      <c r="AQ671" s="23">
        <v>4</v>
      </c>
      <c r="AR671" s="23">
        <v>4</v>
      </c>
      <c r="AS671" s="23" t="s">
        <v>404</v>
      </c>
      <c r="AW671" s="64"/>
      <c r="DG671" s="23">
        <v>0.1699</v>
      </c>
      <c r="DH671" s="23">
        <v>0.1671</v>
      </c>
      <c r="DI671" s="23" t="s">
        <v>552</v>
      </c>
      <c r="DS671" s="12"/>
      <c r="DU671" s="15"/>
      <c r="FA671" s="23" t="s">
        <v>855</v>
      </c>
      <c r="FC671" s="23">
        <v>30</v>
      </c>
    </row>
    <row r="672" spans="1:159" s="23" customFormat="1" x14ac:dyDescent="0.25">
      <c r="A672" s="23">
        <v>30</v>
      </c>
      <c r="B672" s="23" t="s">
        <v>545</v>
      </c>
      <c r="C672" s="23" t="s">
        <v>546</v>
      </c>
      <c r="D672" s="23">
        <v>2002</v>
      </c>
      <c r="E672" s="23">
        <v>1999</v>
      </c>
      <c r="F672" s="23" t="s">
        <v>547</v>
      </c>
      <c r="G672" s="23" t="s">
        <v>548</v>
      </c>
      <c r="H672" s="23">
        <f t="shared" si="209"/>
        <v>38.533333333333331</v>
      </c>
      <c r="I672" s="23">
        <f t="shared" si="210"/>
        <v>-121.78333333333333</v>
      </c>
      <c r="J672" s="23">
        <v>18.399999999999999</v>
      </c>
      <c r="N672" s="23">
        <v>483</v>
      </c>
      <c r="P672" s="53" t="s">
        <v>181</v>
      </c>
      <c r="Q672" s="53"/>
      <c r="R672" s="53">
        <v>36234</v>
      </c>
      <c r="S672" s="53" t="s">
        <v>1663</v>
      </c>
      <c r="T672" s="53" t="s">
        <v>1682</v>
      </c>
      <c r="V672" s="23">
        <v>36</v>
      </c>
      <c r="W672" s="23">
        <v>46</v>
      </c>
      <c r="X672" s="23" t="s">
        <v>175</v>
      </c>
      <c r="AB672" s="23" t="s">
        <v>1566</v>
      </c>
      <c r="AC672" s="23" t="s">
        <v>1817</v>
      </c>
      <c r="AD672" s="153" t="str">
        <f t="shared" si="208"/>
        <v>Common_Vetch</v>
      </c>
      <c r="AE672" s="23" t="s">
        <v>1635</v>
      </c>
      <c r="AG672" s="23" t="s">
        <v>549</v>
      </c>
      <c r="AH672" s="23" t="s">
        <v>549</v>
      </c>
      <c r="AI672" s="23" t="s">
        <v>230</v>
      </c>
      <c r="AM672" s="23" t="s">
        <v>443</v>
      </c>
      <c r="AN672" s="23" t="s">
        <v>550</v>
      </c>
      <c r="AO672" s="23" t="s">
        <v>618</v>
      </c>
      <c r="AP672" s="23" t="s">
        <v>154</v>
      </c>
      <c r="AQ672" s="23">
        <v>4</v>
      </c>
      <c r="AR672" s="23">
        <v>4</v>
      </c>
      <c r="AS672" s="23" t="s">
        <v>404</v>
      </c>
      <c r="AW672" s="64"/>
      <c r="DG672" s="23">
        <v>0.16350000000000001</v>
      </c>
      <c r="DH672" s="23">
        <v>0.17910000000000001</v>
      </c>
      <c r="DI672" s="23" t="s">
        <v>552</v>
      </c>
      <c r="DS672" s="12"/>
      <c r="DU672" s="15"/>
      <c r="FA672" s="23" t="s">
        <v>855</v>
      </c>
      <c r="FC672" s="23">
        <v>30</v>
      </c>
    </row>
    <row r="673" spans="1:159" s="23" customFormat="1" x14ac:dyDescent="0.25">
      <c r="A673" s="23">
        <v>30</v>
      </c>
      <c r="B673" s="23" t="s">
        <v>545</v>
      </c>
      <c r="C673" s="23" t="s">
        <v>546</v>
      </c>
      <c r="D673" s="23">
        <v>2002</v>
      </c>
      <c r="E673" s="23">
        <v>1999</v>
      </c>
      <c r="F673" s="23" t="s">
        <v>547</v>
      </c>
      <c r="G673" s="23" t="s">
        <v>548</v>
      </c>
      <c r="H673" s="23">
        <f t="shared" si="209"/>
        <v>38.533333333333331</v>
      </c>
      <c r="I673" s="23">
        <f t="shared" si="210"/>
        <v>-121.78333333333333</v>
      </c>
      <c r="J673" s="23">
        <v>18.399999999999999</v>
      </c>
      <c r="N673" s="23">
        <v>483</v>
      </c>
      <c r="P673" s="53" t="s">
        <v>181</v>
      </c>
      <c r="Q673" s="53"/>
      <c r="R673" s="53">
        <v>36234</v>
      </c>
      <c r="S673" s="53" t="s">
        <v>1663</v>
      </c>
      <c r="T673" s="53" t="s">
        <v>1682</v>
      </c>
      <c r="V673" s="23">
        <v>36</v>
      </c>
      <c r="W673" s="23">
        <v>46</v>
      </c>
      <c r="X673" s="23" t="s">
        <v>175</v>
      </c>
      <c r="AB673" s="23" t="s">
        <v>1566</v>
      </c>
      <c r="AC673" s="23" t="s">
        <v>1817</v>
      </c>
      <c r="AD673" s="153" t="str">
        <f t="shared" si="208"/>
        <v>Common_Vetch</v>
      </c>
      <c r="AE673" s="23" t="s">
        <v>1635</v>
      </c>
      <c r="AG673" s="23" t="s">
        <v>549</v>
      </c>
      <c r="AH673" s="23" t="s">
        <v>549</v>
      </c>
      <c r="AI673" s="23" t="s">
        <v>230</v>
      </c>
      <c r="AM673" s="23" t="s">
        <v>443</v>
      </c>
      <c r="AN673" s="23" t="s">
        <v>551</v>
      </c>
      <c r="AO673" s="23" t="s">
        <v>618</v>
      </c>
      <c r="AP673" s="23" t="s">
        <v>154</v>
      </c>
      <c r="AQ673" s="23">
        <v>4</v>
      </c>
      <c r="AR673" s="23">
        <v>4</v>
      </c>
      <c r="AS673" s="23" t="s">
        <v>404</v>
      </c>
      <c r="AW673" s="64"/>
      <c r="DG673" s="23">
        <v>0.16350000000000001</v>
      </c>
      <c r="DH673" s="23">
        <v>0.16259999999999999</v>
      </c>
      <c r="DI673" s="23" t="s">
        <v>552</v>
      </c>
      <c r="DS673" s="12"/>
      <c r="DU673" s="15"/>
      <c r="FA673" s="23" t="s">
        <v>855</v>
      </c>
      <c r="FC673" s="23">
        <v>30</v>
      </c>
    </row>
    <row r="674" spans="1:159" s="23" customFormat="1" x14ac:dyDescent="0.25">
      <c r="A674" s="23">
        <v>30</v>
      </c>
      <c r="B674" s="23" t="s">
        <v>545</v>
      </c>
      <c r="C674" s="23" t="s">
        <v>546</v>
      </c>
      <c r="D674" s="23">
        <v>2002</v>
      </c>
      <c r="E674" s="23">
        <v>1999</v>
      </c>
      <c r="F674" s="23" t="s">
        <v>547</v>
      </c>
      <c r="G674" s="23" t="s">
        <v>548</v>
      </c>
      <c r="H674" s="23">
        <f t="shared" si="209"/>
        <v>38.533333333333331</v>
      </c>
      <c r="I674" s="23">
        <f t="shared" si="210"/>
        <v>-121.78333333333333</v>
      </c>
      <c r="J674" s="23">
        <v>18.399999999999999</v>
      </c>
      <c r="N674" s="23">
        <v>483</v>
      </c>
      <c r="P674" s="53" t="s">
        <v>181</v>
      </c>
      <c r="Q674" s="53"/>
      <c r="R674" s="53">
        <v>36514</v>
      </c>
      <c r="S674" s="53" t="s">
        <v>1663</v>
      </c>
      <c r="T674" s="53" t="s">
        <v>1682</v>
      </c>
      <c r="V674" s="23">
        <v>36</v>
      </c>
      <c r="W674" s="23">
        <v>46</v>
      </c>
      <c r="X674" s="23" t="s">
        <v>175</v>
      </c>
      <c r="AB674" s="23" t="s">
        <v>1566</v>
      </c>
      <c r="AC674" s="23" t="s">
        <v>1817</v>
      </c>
      <c r="AD674" s="153" t="str">
        <f t="shared" si="208"/>
        <v>Common_Vetch</v>
      </c>
      <c r="AE674" s="23" t="s">
        <v>1635</v>
      </c>
      <c r="AG674" s="23" t="s">
        <v>549</v>
      </c>
      <c r="AH674" s="23" t="s">
        <v>549</v>
      </c>
      <c r="AI674" s="23" t="s">
        <v>230</v>
      </c>
      <c r="AM674" s="23" t="s">
        <v>443</v>
      </c>
      <c r="AN674" s="23" t="s">
        <v>550</v>
      </c>
      <c r="AO674" s="23" t="s">
        <v>618</v>
      </c>
      <c r="AP674" s="23" t="s">
        <v>154</v>
      </c>
      <c r="AQ674" s="23">
        <v>4</v>
      </c>
      <c r="AR674" s="23">
        <v>4</v>
      </c>
      <c r="AS674" s="23" t="s">
        <v>404</v>
      </c>
      <c r="AW674" s="64"/>
      <c r="DG674" s="23">
        <v>0.1416</v>
      </c>
      <c r="DH674" s="23">
        <v>0.18099999999999999</v>
      </c>
      <c r="DI674" s="23" t="s">
        <v>552</v>
      </c>
      <c r="DS674" s="12"/>
      <c r="DU674" s="15"/>
      <c r="FA674" s="23" t="s">
        <v>855</v>
      </c>
      <c r="FC674" s="23">
        <v>30</v>
      </c>
    </row>
    <row r="675" spans="1:159" s="23" customFormat="1" x14ac:dyDescent="0.25">
      <c r="A675" s="23">
        <v>30</v>
      </c>
      <c r="B675" s="23" t="s">
        <v>545</v>
      </c>
      <c r="C675" s="23" t="s">
        <v>546</v>
      </c>
      <c r="D675" s="23">
        <v>2002</v>
      </c>
      <c r="E675" s="23">
        <v>1999</v>
      </c>
      <c r="F675" s="23" t="s">
        <v>547</v>
      </c>
      <c r="G675" s="23" t="s">
        <v>548</v>
      </c>
      <c r="H675" s="23">
        <f t="shared" si="209"/>
        <v>38.533333333333331</v>
      </c>
      <c r="I675" s="23">
        <f t="shared" si="210"/>
        <v>-121.78333333333333</v>
      </c>
      <c r="J675" s="23">
        <v>18.399999999999999</v>
      </c>
      <c r="N675" s="23">
        <v>483</v>
      </c>
      <c r="P675" s="53" t="s">
        <v>181</v>
      </c>
      <c r="Q675" s="53"/>
      <c r="R675" s="53">
        <v>36514</v>
      </c>
      <c r="S675" s="53" t="s">
        <v>1663</v>
      </c>
      <c r="T675" s="53" t="s">
        <v>1682</v>
      </c>
      <c r="V675" s="23">
        <v>36</v>
      </c>
      <c r="W675" s="23">
        <v>46</v>
      </c>
      <c r="X675" s="23" t="s">
        <v>175</v>
      </c>
      <c r="AB675" s="23" t="s">
        <v>1566</v>
      </c>
      <c r="AC675" s="23" t="s">
        <v>1817</v>
      </c>
      <c r="AD675" s="153" t="str">
        <f t="shared" si="208"/>
        <v>Common_Vetch</v>
      </c>
      <c r="AE675" s="23" t="s">
        <v>1635</v>
      </c>
      <c r="AG675" s="23" t="s">
        <v>549</v>
      </c>
      <c r="AH675" s="23" t="s">
        <v>549</v>
      </c>
      <c r="AI675" s="23" t="s">
        <v>230</v>
      </c>
      <c r="AM675" s="23" t="s">
        <v>443</v>
      </c>
      <c r="AN675" s="23" t="s">
        <v>551</v>
      </c>
      <c r="AO675" s="23" t="s">
        <v>618</v>
      </c>
      <c r="AP675" s="23" t="s">
        <v>154</v>
      </c>
      <c r="AQ675" s="23">
        <v>4</v>
      </c>
      <c r="AR675" s="23">
        <v>4</v>
      </c>
      <c r="AS675" s="23" t="s">
        <v>404</v>
      </c>
      <c r="AW675" s="64"/>
      <c r="DG675" s="23">
        <v>0.1416</v>
      </c>
      <c r="DH675" s="23">
        <v>0.17</v>
      </c>
      <c r="DI675" s="23" t="s">
        <v>552</v>
      </c>
      <c r="DS675" s="12"/>
      <c r="DU675" s="15"/>
      <c r="FA675" s="23" t="s">
        <v>855</v>
      </c>
      <c r="FC675" s="23">
        <v>30</v>
      </c>
    </row>
    <row r="676" spans="1:159" s="23" customFormat="1" x14ac:dyDescent="0.25">
      <c r="A676" s="23">
        <v>30</v>
      </c>
      <c r="B676" s="23" t="s">
        <v>545</v>
      </c>
      <c r="C676" s="23" t="s">
        <v>546</v>
      </c>
      <c r="D676" s="23">
        <v>2002</v>
      </c>
      <c r="E676" s="23">
        <v>2000</v>
      </c>
      <c r="F676" s="23" t="s">
        <v>547</v>
      </c>
      <c r="G676" s="23" t="s">
        <v>548</v>
      </c>
      <c r="H676" s="23">
        <f t="shared" si="209"/>
        <v>38.533333333333331</v>
      </c>
      <c r="I676" s="23">
        <f t="shared" si="210"/>
        <v>-121.78333333333333</v>
      </c>
      <c r="J676" s="23">
        <v>18.399999999999999</v>
      </c>
      <c r="N676" s="23">
        <v>483</v>
      </c>
      <c r="P676" s="53" t="s">
        <v>182</v>
      </c>
      <c r="Q676" s="53"/>
      <c r="R676" s="53">
        <v>36535</v>
      </c>
      <c r="S676" s="53" t="s">
        <v>1663</v>
      </c>
      <c r="T676" s="53" t="s">
        <v>1682</v>
      </c>
      <c r="V676" s="23">
        <v>36</v>
      </c>
      <c r="W676" s="23">
        <v>46</v>
      </c>
      <c r="X676" s="23" t="s">
        <v>175</v>
      </c>
      <c r="AB676" s="23" t="s">
        <v>1566</v>
      </c>
      <c r="AC676" s="23" t="s">
        <v>1817</v>
      </c>
      <c r="AD676" s="153" t="str">
        <f t="shared" si="208"/>
        <v>Common_Vetch</v>
      </c>
      <c r="AE676" s="23" t="s">
        <v>1635</v>
      </c>
      <c r="AG676" s="23" t="s">
        <v>549</v>
      </c>
      <c r="AH676" s="23" t="s">
        <v>549</v>
      </c>
      <c r="AI676" s="23" t="s">
        <v>230</v>
      </c>
      <c r="AM676" s="23" t="s">
        <v>443</v>
      </c>
      <c r="AN676" s="23" t="s">
        <v>550</v>
      </c>
      <c r="AO676" s="23" t="s">
        <v>618</v>
      </c>
      <c r="AP676" s="23" t="s">
        <v>154</v>
      </c>
      <c r="AQ676" s="23">
        <v>4</v>
      </c>
      <c r="AR676" s="23">
        <v>4</v>
      </c>
      <c r="AS676" s="23" t="s">
        <v>404</v>
      </c>
      <c r="AW676" s="64"/>
      <c r="DG676" s="23">
        <v>0.14069999999999999</v>
      </c>
      <c r="DH676" s="23">
        <v>0.1865</v>
      </c>
      <c r="DI676" s="23" t="s">
        <v>552</v>
      </c>
      <c r="DS676" s="12"/>
      <c r="DU676" s="15"/>
      <c r="FA676" s="23" t="s">
        <v>855</v>
      </c>
      <c r="FC676" s="23">
        <v>30</v>
      </c>
    </row>
    <row r="677" spans="1:159" s="23" customFormat="1" x14ac:dyDescent="0.25">
      <c r="A677" s="23">
        <v>30</v>
      </c>
      <c r="B677" s="23" t="s">
        <v>545</v>
      </c>
      <c r="C677" s="23" t="s">
        <v>546</v>
      </c>
      <c r="D677" s="23">
        <v>2002</v>
      </c>
      <c r="E677" s="23">
        <v>2000</v>
      </c>
      <c r="F677" s="23" t="s">
        <v>547</v>
      </c>
      <c r="G677" s="23" t="s">
        <v>548</v>
      </c>
      <c r="H677" s="23">
        <f t="shared" si="209"/>
        <v>38.533333333333331</v>
      </c>
      <c r="I677" s="23">
        <f t="shared" si="210"/>
        <v>-121.78333333333333</v>
      </c>
      <c r="J677" s="23">
        <v>18.399999999999999</v>
      </c>
      <c r="N677" s="23">
        <v>483</v>
      </c>
      <c r="P677" s="53" t="s">
        <v>182</v>
      </c>
      <c r="Q677" s="53"/>
      <c r="R677" s="53">
        <v>36535</v>
      </c>
      <c r="S677" s="53" t="s">
        <v>1663</v>
      </c>
      <c r="T677" s="53" t="s">
        <v>1682</v>
      </c>
      <c r="V677" s="23">
        <v>36</v>
      </c>
      <c r="W677" s="23">
        <v>46</v>
      </c>
      <c r="X677" s="23" t="s">
        <v>175</v>
      </c>
      <c r="AB677" s="23" t="s">
        <v>1566</v>
      </c>
      <c r="AC677" s="23" t="s">
        <v>1817</v>
      </c>
      <c r="AD677" s="153" t="str">
        <f t="shared" si="208"/>
        <v>Common_Vetch</v>
      </c>
      <c r="AE677" s="23" t="s">
        <v>1635</v>
      </c>
      <c r="AG677" s="23" t="s">
        <v>549</v>
      </c>
      <c r="AH677" s="23" t="s">
        <v>549</v>
      </c>
      <c r="AI677" s="23" t="s">
        <v>230</v>
      </c>
      <c r="AM677" s="23" t="s">
        <v>443</v>
      </c>
      <c r="AN677" s="23" t="s">
        <v>551</v>
      </c>
      <c r="AO677" s="23" t="s">
        <v>618</v>
      </c>
      <c r="AP677" s="23" t="s">
        <v>154</v>
      </c>
      <c r="AQ677" s="23">
        <v>4</v>
      </c>
      <c r="AR677" s="23">
        <v>4</v>
      </c>
      <c r="AS677" s="23" t="s">
        <v>404</v>
      </c>
      <c r="AW677" s="64"/>
      <c r="DG677" s="23">
        <v>0.14069999999999999</v>
      </c>
      <c r="DH677" s="23">
        <v>0.17280000000000001</v>
      </c>
      <c r="DI677" s="23" t="s">
        <v>552</v>
      </c>
      <c r="DS677" s="12"/>
      <c r="DU677" s="15"/>
      <c r="FA677" s="23" t="s">
        <v>855</v>
      </c>
      <c r="FC677" s="23">
        <v>30</v>
      </c>
    </row>
    <row r="678" spans="1:159" s="23" customFormat="1" x14ac:dyDescent="0.25">
      <c r="A678" s="23">
        <v>30</v>
      </c>
      <c r="B678" s="23" t="s">
        <v>545</v>
      </c>
      <c r="C678" s="23" t="s">
        <v>546</v>
      </c>
      <c r="D678" s="23">
        <v>2002</v>
      </c>
      <c r="E678" s="23">
        <v>2000</v>
      </c>
      <c r="F678" s="23" t="s">
        <v>547</v>
      </c>
      <c r="G678" s="23" t="s">
        <v>548</v>
      </c>
      <c r="H678" s="23">
        <f t="shared" si="209"/>
        <v>38.533333333333331</v>
      </c>
      <c r="I678" s="23">
        <f t="shared" si="210"/>
        <v>-121.78333333333333</v>
      </c>
      <c r="J678" s="23">
        <v>18.399999999999999</v>
      </c>
      <c r="N678" s="23">
        <v>483</v>
      </c>
      <c r="P678" s="53" t="s">
        <v>182</v>
      </c>
      <c r="Q678" s="53"/>
      <c r="R678" s="53">
        <v>36541</v>
      </c>
      <c r="S678" s="53" t="s">
        <v>1663</v>
      </c>
      <c r="T678" s="53" t="s">
        <v>1682</v>
      </c>
      <c r="V678" s="23">
        <v>36</v>
      </c>
      <c r="W678" s="23">
        <v>46</v>
      </c>
      <c r="X678" s="23" t="s">
        <v>175</v>
      </c>
      <c r="AB678" s="23" t="s">
        <v>1566</v>
      </c>
      <c r="AC678" s="23" t="s">
        <v>1817</v>
      </c>
      <c r="AD678" s="153" t="str">
        <f t="shared" si="208"/>
        <v>Common_Vetch</v>
      </c>
      <c r="AE678" s="23" t="s">
        <v>1635</v>
      </c>
      <c r="AG678" s="23" t="s">
        <v>549</v>
      </c>
      <c r="AH678" s="23" t="s">
        <v>549</v>
      </c>
      <c r="AI678" s="23" t="s">
        <v>230</v>
      </c>
      <c r="AM678" s="23" t="s">
        <v>443</v>
      </c>
      <c r="AN678" s="23" t="s">
        <v>550</v>
      </c>
      <c r="AO678" s="23" t="s">
        <v>618</v>
      </c>
      <c r="AP678" s="23" t="s">
        <v>154</v>
      </c>
      <c r="AQ678" s="23">
        <v>4</v>
      </c>
      <c r="AR678" s="23">
        <v>4</v>
      </c>
      <c r="AS678" s="23" t="s">
        <v>404</v>
      </c>
      <c r="AW678" s="64"/>
      <c r="DG678" s="23">
        <v>0.1416</v>
      </c>
      <c r="DH678" s="23">
        <v>0.1875</v>
      </c>
      <c r="DI678" s="23" t="s">
        <v>552</v>
      </c>
      <c r="DS678" s="12"/>
      <c r="DU678" s="15"/>
      <c r="FA678" s="23" t="s">
        <v>855</v>
      </c>
      <c r="FC678" s="23">
        <v>30</v>
      </c>
    </row>
    <row r="679" spans="1:159" s="23" customFormat="1" x14ac:dyDescent="0.25">
      <c r="A679" s="23">
        <v>30</v>
      </c>
      <c r="B679" s="23" t="s">
        <v>545</v>
      </c>
      <c r="C679" s="23" t="s">
        <v>546</v>
      </c>
      <c r="D679" s="23">
        <v>2002</v>
      </c>
      <c r="E679" s="23">
        <v>2000</v>
      </c>
      <c r="F679" s="23" t="s">
        <v>547</v>
      </c>
      <c r="G679" s="23" t="s">
        <v>548</v>
      </c>
      <c r="H679" s="23">
        <f t="shared" si="209"/>
        <v>38.533333333333331</v>
      </c>
      <c r="I679" s="23">
        <f t="shared" si="210"/>
        <v>-121.78333333333333</v>
      </c>
      <c r="J679" s="23">
        <v>18.399999999999999</v>
      </c>
      <c r="N679" s="23">
        <v>483</v>
      </c>
      <c r="P679" s="53" t="s">
        <v>182</v>
      </c>
      <c r="Q679" s="53"/>
      <c r="R679" s="53">
        <v>36541</v>
      </c>
      <c r="S679" s="53" t="s">
        <v>1663</v>
      </c>
      <c r="T679" s="53" t="s">
        <v>1682</v>
      </c>
      <c r="V679" s="23">
        <v>36</v>
      </c>
      <c r="W679" s="23">
        <v>46</v>
      </c>
      <c r="X679" s="23" t="s">
        <v>175</v>
      </c>
      <c r="AB679" s="23" t="s">
        <v>1566</v>
      </c>
      <c r="AC679" s="23" t="s">
        <v>1817</v>
      </c>
      <c r="AD679" s="153" t="str">
        <f t="shared" si="208"/>
        <v>Common_Vetch</v>
      </c>
      <c r="AE679" s="23" t="s">
        <v>1635</v>
      </c>
      <c r="AG679" s="23" t="s">
        <v>549</v>
      </c>
      <c r="AH679" s="23" t="s">
        <v>549</v>
      </c>
      <c r="AI679" s="23" t="s">
        <v>230</v>
      </c>
      <c r="AM679" s="23" t="s">
        <v>443</v>
      </c>
      <c r="AN679" s="23" t="s">
        <v>551</v>
      </c>
      <c r="AO679" s="23" t="s">
        <v>618</v>
      </c>
      <c r="AP679" s="23" t="s">
        <v>154</v>
      </c>
      <c r="AQ679" s="23">
        <v>4</v>
      </c>
      <c r="AR679" s="23">
        <v>4</v>
      </c>
      <c r="AS679" s="23" t="s">
        <v>404</v>
      </c>
      <c r="AW679" s="64"/>
      <c r="DG679" s="23">
        <v>0.1416</v>
      </c>
      <c r="DH679" s="23">
        <v>0.17280000000000001</v>
      </c>
      <c r="DI679" s="23" t="s">
        <v>552</v>
      </c>
      <c r="DS679" s="12"/>
      <c r="DU679" s="15"/>
      <c r="FA679" s="23" t="s">
        <v>855</v>
      </c>
      <c r="FC679" s="23">
        <v>30</v>
      </c>
    </row>
    <row r="680" spans="1:159" s="23" customFormat="1" x14ac:dyDescent="0.25">
      <c r="A680" s="23">
        <v>30</v>
      </c>
      <c r="B680" s="23" t="s">
        <v>545</v>
      </c>
      <c r="C680" s="23" t="s">
        <v>546</v>
      </c>
      <c r="D680" s="23">
        <v>2002</v>
      </c>
      <c r="E680" s="23">
        <v>2000</v>
      </c>
      <c r="F680" s="23" t="s">
        <v>547</v>
      </c>
      <c r="G680" s="23" t="s">
        <v>548</v>
      </c>
      <c r="H680" s="23">
        <f t="shared" si="209"/>
        <v>38.533333333333331</v>
      </c>
      <c r="I680" s="23">
        <f t="shared" si="210"/>
        <v>-121.78333333333333</v>
      </c>
      <c r="J680" s="23">
        <v>18.399999999999999</v>
      </c>
      <c r="N680" s="23">
        <v>483</v>
      </c>
      <c r="P680" s="53" t="s">
        <v>182</v>
      </c>
      <c r="Q680" s="53"/>
      <c r="R680" s="53">
        <v>36549</v>
      </c>
      <c r="S680" s="53" t="s">
        <v>1663</v>
      </c>
      <c r="T680" s="53" t="s">
        <v>1682</v>
      </c>
      <c r="V680" s="23">
        <v>36</v>
      </c>
      <c r="W680" s="23">
        <v>46</v>
      </c>
      <c r="X680" s="23" t="s">
        <v>175</v>
      </c>
      <c r="AB680" s="23" t="s">
        <v>1566</v>
      </c>
      <c r="AC680" s="23" t="s">
        <v>1817</v>
      </c>
      <c r="AD680" s="153" t="str">
        <f t="shared" si="208"/>
        <v>Common_Vetch</v>
      </c>
      <c r="AE680" s="23" t="s">
        <v>1635</v>
      </c>
      <c r="AG680" s="23" t="s">
        <v>549</v>
      </c>
      <c r="AH680" s="23" t="s">
        <v>549</v>
      </c>
      <c r="AI680" s="23" t="s">
        <v>230</v>
      </c>
      <c r="AM680" s="23" t="s">
        <v>443</v>
      </c>
      <c r="AN680" s="23" t="s">
        <v>550</v>
      </c>
      <c r="AO680" s="23" t="s">
        <v>618</v>
      </c>
      <c r="AP680" s="23" t="s">
        <v>154</v>
      </c>
      <c r="AQ680" s="23">
        <v>4</v>
      </c>
      <c r="AR680" s="23">
        <v>4</v>
      </c>
      <c r="AS680" s="23" t="s">
        <v>404</v>
      </c>
      <c r="AW680" s="64"/>
      <c r="DG680" s="23">
        <v>0.1389</v>
      </c>
      <c r="DH680" s="23">
        <v>0.1875</v>
      </c>
      <c r="DI680" s="23" t="s">
        <v>552</v>
      </c>
      <c r="DS680" s="12"/>
      <c r="DU680" s="15"/>
      <c r="FA680" s="23" t="s">
        <v>855</v>
      </c>
      <c r="FC680" s="23">
        <v>30</v>
      </c>
    </row>
    <row r="681" spans="1:159" s="23" customFormat="1" x14ac:dyDescent="0.25">
      <c r="A681" s="23">
        <v>30</v>
      </c>
      <c r="B681" s="23" t="s">
        <v>545</v>
      </c>
      <c r="C681" s="23" t="s">
        <v>546</v>
      </c>
      <c r="D681" s="23">
        <v>2002</v>
      </c>
      <c r="E681" s="23">
        <v>2000</v>
      </c>
      <c r="F681" s="23" t="s">
        <v>547</v>
      </c>
      <c r="G681" s="23" t="s">
        <v>548</v>
      </c>
      <c r="H681" s="23">
        <f t="shared" si="209"/>
        <v>38.533333333333331</v>
      </c>
      <c r="I681" s="23">
        <f t="shared" si="210"/>
        <v>-121.78333333333333</v>
      </c>
      <c r="J681" s="23">
        <v>18.399999999999999</v>
      </c>
      <c r="N681" s="23">
        <v>483</v>
      </c>
      <c r="P681" s="53" t="s">
        <v>182</v>
      </c>
      <c r="Q681" s="53"/>
      <c r="R681" s="53">
        <v>36549</v>
      </c>
      <c r="S681" s="53" t="s">
        <v>1663</v>
      </c>
      <c r="T681" s="53" t="s">
        <v>1682</v>
      </c>
      <c r="V681" s="23">
        <v>36</v>
      </c>
      <c r="W681" s="23">
        <v>46</v>
      </c>
      <c r="X681" s="23" t="s">
        <v>175</v>
      </c>
      <c r="AB681" s="23" t="s">
        <v>1566</v>
      </c>
      <c r="AC681" s="23" t="s">
        <v>1817</v>
      </c>
      <c r="AD681" s="153" t="str">
        <f t="shared" si="208"/>
        <v>Common_Vetch</v>
      </c>
      <c r="AE681" s="23" t="s">
        <v>1635</v>
      </c>
      <c r="AG681" s="23" t="s">
        <v>549</v>
      </c>
      <c r="AH681" s="23" t="s">
        <v>549</v>
      </c>
      <c r="AI681" s="23" t="s">
        <v>230</v>
      </c>
      <c r="AM681" s="23" t="s">
        <v>443</v>
      </c>
      <c r="AN681" s="23" t="s">
        <v>551</v>
      </c>
      <c r="AO681" s="23" t="s">
        <v>618</v>
      </c>
      <c r="AP681" s="23" t="s">
        <v>154</v>
      </c>
      <c r="AQ681" s="23">
        <v>4</v>
      </c>
      <c r="AR681" s="23">
        <v>4</v>
      </c>
      <c r="AS681" s="23" t="s">
        <v>404</v>
      </c>
      <c r="AW681" s="64"/>
      <c r="DG681" s="23">
        <v>0.1389</v>
      </c>
      <c r="DH681" s="23">
        <v>0.17469999999999999</v>
      </c>
      <c r="DI681" s="23" t="s">
        <v>552</v>
      </c>
      <c r="DS681" s="12"/>
      <c r="DU681" s="15"/>
      <c r="FA681" s="23" t="s">
        <v>855</v>
      </c>
      <c r="FC681" s="23">
        <v>30</v>
      </c>
    </row>
    <row r="682" spans="1:159" s="23" customFormat="1" x14ac:dyDescent="0.25">
      <c r="A682" s="23">
        <v>30</v>
      </c>
      <c r="B682" s="23" t="s">
        <v>545</v>
      </c>
      <c r="C682" s="23" t="s">
        <v>546</v>
      </c>
      <c r="D682" s="23">
        <v>2002</v>
      </c>
      <c r="E682" s="23">
        <v>2000</v>
      </c>
      <c r="F682" s="23" t="s">
        <v>547</v>
      </c>
      <c r="G682" s="23" t="s">
        <v>548</v>
      </c>
      <c r="H682" s="23">
        <f t="shared" si="209"/>
        <v>38.533333333333331</v>
      </c>
      <c r="I682" s="23">
        <f t="shared" si="210"/>
        <v>-121.78333333333333</v>
      </c>
      <c r="J682" s="23">
        <v>18.399999999999999</v>
      </c>
      <c r="N682" s="23">
        <v>483</v>
      </c>
      <c r="P682" s="53" t="s">
        <v>182</v>
      </c>
      <c r="Q682" s="53"/>
      <c r="R682" s="53">
        <v>36562</v>
      </c>
      <c r="S682" s="53" t="s">
        <v>1663</v>
      </c>
      <c r="T682" s="53" t="s">
        <v>1682</v>
      </c>
      <c r="V682" s="23">
        <v>36</v>
      </c>
      <c r="W682" s="23">
        <v>46</v>
      </c>
      <c r="X682" s="23" t="s">
        <v>175</v>
      </c>
      <c r="AB682" s="23" t="s">
        <v>1566</v>
      </c>
      <c r="AC682" s="23" t="s">
        <v>1817</v>
      </c>
      <c r="AD682" s="153" t="str">
        <f t="shared" si="208"/>
        <v>Common_Vetch</v>
      </c>
      <c r="AE682" s="23" t="s">
        <v>1635</v>
      </c>
      <c r="AG682" s="23" t="s">
        <v>549</v>
      </c>
      <c r="AH682" s="23" t="s">
        <v>549</v>
      </c>
      <c r="AI682" s="23" t="s">
        <v>230</v>
      </c>
      <c r="AM682" s="23" t="s">
        <v>443</v>
      </c>
      <c r="AN682" s="23" t="s">
        <v>550</v>
      </c>
      <c r="AO682" s="23" t="s">
        <v>618</v>
      </c>
      <c r="AP682" s="23" t="s">
        <v>154</v>
      </c>
      <c r="AQ682" s="23">
        <v>4</v>
      </c>
      <c r="AR682" s="23">
        <v>4</v>
      </c>
      <c r="AS682" s="23" t="s">
        <v>404</v>
      </c>
      <c r="AW682" s="64"/>
      <c r="DG682" s="23">
        <v>0.14530000000000001</v>
      </c>
      <c r="DH682" s="23">
        <v>0.18940000000000001</v>
      </c>
      <c r="DI682" s="23" t="s">
        <v>552</v>
      </c>
      <c r="DS682" s="12"/>
      <c r="DU682" s="15"/>
      <c r="FA682" s="23" t="s">
        <v>855</v>
      </c>
      <c r="FC682" s="23">
        <v>30</v>
      </c>
    </row>
    <row r="683" spans="1:159" s="23" customFormat="1" x14ac:dyDescent="0.25">
      <c r="A683" s="23">
        <v>30</v>
      </c>
      <c r="B683" s="23" t="s">
        <v>545</v>
      </c>
      <c r="C683" s="23" t="s">
        <v>546</v>
      </c>
      <c r="D683" s="23">
        <v>2002</v>
      </c>
      <c r="E683" s="23">
        <v>2000</v>
      </c>
      <c r="F683" s="23" t="s">
        <v>547</v>
      </c>
      <c r="G683" s="23" t="s">
        <v>548</v>
      </c>
      <c r="H683" s="23">
        <f t="shared" si="209"/>
        <v>38.533333333333331</v>
      </c>
      <c r="I683" s="23">
        <f t="shared" si="210"/>
        <v>-121.78333333333333</v>
      </c>
      <c r="J683" s="23">
        <v>18.399999999999999</v>
      </c>
      <c r="N683" s="23">
        <v>483</v>
      </c>
      <c r="P683" s="53" t="s">
        <v>182</v>
      </c>
      <c r="Q683" s="53"/>
      <c r="R683" s="53">
        <v>36562</v>
      </c>
      <c r="S683" s="53" t="s">
        <v>1663</v>
      </c>
      <c r="T683" s="53" t="s">
        <v>1682</v>
      </c>
      <c r="V683" s="23">
        <v>36</v>
      </c>
      <c r="W683" s="23">
        <v>46</v>
      </c>
      <c r="X683" s="23" t="s">
        <v>175</v>
      </c>
      <c r="AB683" s="23" t="s">
        <v>1566</v>
      </c>
      <c r="AC683" s="23" t="s">
        <v>1817</v>
      </c>
      <c r="AD683" s="153" t="str">
        <f t="shared" si="208"/>
        <v>Common_Vetch</v>
      </c>
      <c r="AE683" s="23" t="s">
        <v>1635</v>
      </c>
      <c r="AG683" s="23" t="s">
        <v>549</v>
      </c>
      <c r="AH683" s="23" t="s">
        <v>549</v>
      </c>
      <c r="AI683" s="23" t="s">
        <v>230</v>
      </c>
      <c r="AM683" s="23" t="s">
        <v>443</v>
      </c>
      <c r="AN683" s="23" t="s">
        <v>551</v>
      </c>
      <c r="AO683" s="23" t="s">
        <v>618</v>
      </c>
      <c r="AP683" s="23" t="s">
        <v>154</v>
      </c>
      <c r="AQ683" s="23">
        <v>4</v>
      </c>
      <c r="AR683" s="23">
        <v>4</v>
      </c>
      <c r="AS683" s="23" t="s">
        <v>404</v>
      </c>
      <c r="AW683" s="64"/>
      <c r="DG683" s="23">
        <v>0.14530000000000001</v>
      </c>
      <c r="DH683" s="23">
        <v>0.1774</v>
      </c>
      <c r="DI683" s="23" t="s">
        <v>552</v>
      </c>
      <c r="DS683" s="12"/>
      <c r="DU683" s="15"/>
      <c r="FA683" s="23" t="s">
        <v>855</v>
      </c>
      <c r="FC683" s="23">
        <v>30</v>
      </c>
    </row>
    <row r="684" spans="1:159" s="23" customFormat="1" x14ac:dyDescent="0.25">
      <c r="A684" s="23">
        <v>30</v>
      </c>
      <c r="B684" s="23" t="s">
        <v>545</v>
      </c>
      <c r="C684" s="23" t="s">
        <v>546</v>
      </c>
      <c r="D684" s="23">
        <v>2002</v>
      </c>
      <c r="E684" s="23">
        <v>2000</v>
      </c>
      <c r="F684" s="23" t="s">
        <v>547</v>
      </c>
      <c r="G684" s="23" t="s">
        <v>548</v>
      </c>
      <c r="H684" s="23">
        <f t="shared" si="209"/>
        <v>38.533333333333331</v>
      </c>
      <c r="I684" s="23">
        <f t="shared" si="210"/>
        <v>-121.78333333333333</v>
      </c>
      <c r="J684" s="23">
        <v>18.399999999999999</v>
      </c>
      <c r="N684" s="23">
        <v>483</v>
      </c>
      <c r="P684" s="53" t="s">
        <v>182</v>
      </c>
      <c r="Q684" s="53"/>
      <c r="R684" s="53">
        <v>36566</v>
      </c>
      <c r="S684" s="53" t="s">
        <v>1663</v>
      </c>
      <c r="T684" s="53" t="s">
        <v>1682</v>
      </c>
      <c r="V684" s="23">
        <v>36</v>
      </c>
      <c r="W684" s="23">
        <v>46</v>
      </c>
      <c r="X684" s="23" t="s">
        <v>175</v>
      </c>
      <c r="AB684" s="23" t="s">
        <v>1566</v>
      </c>
      <c r="AC684" s="23" t="s">
        <v>1817</v>
      </c>
      <c r="AD684" s="153" t="str">
        <f t="shared" si="208"/>
        <v>Common_Vetch</v>
      </c>
      <c r="AE684" s="23" t="s">
        <v>1635</v>
      </c>
      <c r="AG684" s="23" t="s">
        <v>549</v>
      </c>
      <c r="AH684" s="23" t="s">
        <v>549</v>
      </c>
      <c r="AI684" s="23" t="s">
        <v>230</v>
      </c>
      <c r="AM684" s="23" t="s">
        <v>443</v>
      </c>
      <c r="AN684" s="23" t="s">
        <v>550</v>
      </c>
      <c r="AO684" s="23" t="s">
        <v>618</v>
      </c>
      <c r="AP684" s="23" t="s">
        <v>154</v>
      </c>
      <c r="AQ684" s="23">
        <v>4</v>
      </c>
      <c r="AR684" s="23">
        <v>4</v>
      </c>
      <c r="AS684" s="23" t="s">
        <v>404</v>
      </c>
      <c r="AW684" s="64"/>
      <c r="DG684" s="23">
        <v>0.14630000000000001</v>
      </c>
      <c r="DH684" s="23">
        <v>0.19489999999999999</v>
      </c>
      <c r="DI684" s="23" t="s">
        <v>552</v>
      </c>
      <c r="DS684" s="12"/>
      <c r="DU684" s="15"/>
      <c r="FA684" s="23" t="s">
        <v>855</v>
      </c>
      <c r="FC684" s="23">
        <v>30</v>
      </c>
    </row>
    <row r="685" spans="1:159" s="23" customFormat="1" x14ac:dyDescent="0.25">
      <c r="A685" s="23">
        <v>30</v>
      </c>
      <c r="B685" s="23" t="s">
        <v>545</v>
      </c>
      <c r="C685" s="23" t="s">
        <v>546</v>
      </c>
      <c r="D685" s="23">
        <v>2002</v>
      </c>
      <c r="E685" s="23">
        <v>2000</v>
      </c>
      <c r="F685" s="23" t="s">
        <v>547</v>
      </c>
      <c r="G685" s="23" t="s">
        <v>548</v>
      </c>
      <c r="H685" s="23">
        <f t="shared" si="209"/>
        <v>38.533333333333331</v>
      </c>
      <c r="I685" s="23">
        <f t="shared" si="210"/>
        <v>-121.78333333333333</v>
      </c>
      <c r="J685" s="23">
        <v>18.399999999999999</v>
      </c>
      <c r="N685" s="23">
        <v>483</v>
      </c>
      <c r="P685" s="53" t="s">
        <v>182</v>
      </c>
      <c r="Q685" s="53"/>
      <c r="R685" s="53">
        <v>36566</v>
      </c>
      <c r="S685" s="53" t="s">
        <v>1663</v>
      </c>
      <c r="T685" s="53" t="s">
        <v>1682</v>
      </c>
      <c r="V685" s="23">
        <v>36</v>
      </c>
      <c r="W685" s="23">
        <v>46</v>
      </c>
      <c r="X685" s="23" t="s">
        <v>175</v>
      </c>
      <c r="AB685" s="23" t="s">
        <v>1566</v>
      </c>
      <c r="AC685" s="23" t="s">
        <v>1817</v>
      </c>
      <c r="AD685" s="153" t="str">
        <f t="shared" si="208"/>
        <v>Common_Vetch</v>
      </c>
      <c r="AE685" s="23" t="s">
        <v>1635</v>
      </c>
      <c r="AG685" s="23" t="s">
        <v>549</v>
      </c>
      <c r="AH685" s="23" t="s">
        <v>549</v>
      </c>
      <c r="AI685" s="23" t="s">
        <v>230</v>
      </c>
      <c r="AM685" s="23" t="s">
        <v>443</v>
      </c>
      <c r="AN685" s="23" t="s">
        <v>551</v>
      </c>
      <c r="AO685" s="23" t="s">
        <v>618</v>
      </c>
      <c r="AP685" s="23" t="s">
        <v>154</v>
      </c>
      <c r="AQ685" s="23">
        <v>4</v>
      </c>
      <c r="AR685" s="23">
        <v>4</v>
      </c>
      <c r="AS685" s="23" t="s">
        <v>404</v>
      </c>
      <c r="AW685" s="64"/>
      <c r="DG685" s="23">
        <v>0.14630000000000001</v>
      </c>
      <c r="DH685" s="23">
        <v>0.18110000000000001</v>
      </c>
      <c r="DI685" s="23" t="s">
        <v>552</v>
      </c>
      <c r="DS685" s="12"/>
      <c r="DU685" s="15"/>
      <c r="FA685" s="23" t="s">
        <v>855</v>
      </c>
      <c r="FC685" s="23">
        <v>30</v>
      </c>
    </row>
    <row r="686" spans="1:159" s="23" customFormat="1" x14ac:dyDescent="0.25">
      <c r="A686" s="23">
        <v>30</v>
      </c>
      <c r="B686" s="23" t="s">
        <v>545</v>
      </c>
      <c r="C686" s="23" t="s">
        <v>546</v>
      </c>
      <c r="D686" s="23">
        <v>2002</v>
      </c>
      <c r="E686" s="23">
        <v>2000</v>
      </c>
      <c r="F686" s="23" t="s">
        <v>547</v>
      </c>
      <c r="G686" s="23" t="s">
        <v>548</v>
      </c>
      <c r="H686" s="23">
        <f t="shared" si="209"/>
        <v>38.533333333333331</v>
      </c>
      <c r="I686" s="23">
        <f t="shared" si="210"/>
        <v>-121.78333333333333</v>
      </c>
      <c r="J686" s="23">
        <v>18.399999999999999</v>
      </c>
      <c r="N686" s="23">
        <v>483</v>
      </c>
      <c r="P686" s="53" t="s">
        <v>182</v>
      </c>
      <c r="Q686" s="53"/>
      <c r="R686" s="53">
        <v>36572</v>
      </c>
      <c r="S686" s="53" t="s">
        <v>1663</v>
      </c>
      <c r="T686" s="53" t="s">
        <v>1682</v>
      </c>
      <c r="V686" s="23">
        <v>36</v>
      </c>
      <c r="W686" s="23">
        <v>46</v>
      </c>
      <c r="X686" s="23" t="s">
        <v>175</v>
      </c>
      <c r="AB686" s="23" t="s">
        <v>1566</v>
      </c>
      <c r="AC686" s="23" t="s">
        <v>1817</v>
      </c>
      <c r="AD686" s="153" t="str">
        <f t="shared" si="208"/>
        <v>Common_Vetch</v>
      </c>
      <c r="AE686" s="23" t="s">
        <v>1635</v>
      </c>
      <c r="AG686" s="23" t="s">
        <v>549</v>
      </c>
      <c r="AH686" s="23" t="s">
        <v>549</v>
      </c>
      <c r="AI686" s="23" t="s">
        <v>230</v>
      </c>
      <c r="AM686" s="23" t="s">
        <v>443</v>
      </c>
      <c r="AN686" s="23" t="s">
        <v>550</v>
      </c>
      <c r="AO686" s="23" t="s">
        <v>618</v>
      </c>
      <c r="AP686" s="23" t="s">
        <v>154</v>
      </c>
      <c r="AQ686" s="23">
        <v>4</v>
      </c>
      <c r="AR686" s="23">
        <v>4</v>
      </c>
      <c r="AS686" s="23" t="s">
        <v>404</v>
      </c>
      <c r="AW686" s="64"/>
      <c r="DG686" s="23">
        <v>0.15640000000000001</v>
      </c>
      <c r="DH686" s="23">
        <v>0.1958</v>
      </c>
      <c r="DI686" s="23" t="s">
        <v>552</v>
      </c>
      <c r="DS686" s="12"/>
      <c r="DU686" s="15"/>
      <c r="FA686" s="23" t="s">
        <v>855</v>
      </c>
      <c r="FC686" s="23">
        <v>30</v>
      </c>
    </row>
    <row r="687" spans="1:159" s="23" customFormat="1" x14ac:dyDescent="0.25">
      <c r="A687" s="23">
        <v>30</v>
      </c>
      <c r="B687" s="23" t="s">
        <v>545</v>
      </c>
      <c r="C687" s="23" t="s">
        <v>546</v>
      </c>
      <c r="D687" s="23">
        <v>2002</v>
      </c>
      <c r="E687" s="23">
        <v>2000</v>
      </c>
      <c r="F687" s="23" t="s">
        <v>547</v>
      </c>
      <c r="G687" s="23" t="s">
        <v>548</v>
      </c>
      <c r="H687" s="23">
        <f t="shared" si="209"/>
        <v>38.533333333333331</v>
      </c>
      <c r="I687" s="23">
        <f t="shared" si="210"/>
        <v>-121.78333333333333</v>
      </c>
      <c r="J687" s="23">
        <v>18.399999999999999</v>
      </c>
      <c r="N687" s="23">
        <v>483</v>
      </c>
      <c r="P687" s="53" t="s">
        <v>182</v>
      </c>
      <c r="Q687" s="53"/>
      <c r="R687" s="53">
        <v>36572</v>
      </c>
      <c r="S687" s="53" t="s">
        <v>1663</v>
      </c>
      <c r="T687" s="53" t="s">
        <v>1682</v>
      </c>
      <c r="V687" s="23">
        <v>36</v>
      </c>
      <c r="W687" s="23">
        <v>46</v>
      </c>
      <c r="X687" s="23" t="s">
        <v>175</v>
      </c>
      <c r="AB687" s="23" t="s">
        <v>1566</v>
      </c>
      <c r="AC687" s="23" t="s">
        <v>1817</v>
      </c>
      <c r="AD687" s="153" t="str">
        <f t="shared" si="208"/>
        <v>Common_Vetch</v>
      </c>
      <c r="AE687" s="23" t="s">
        <v>1635</v>
      </c>
      <c r="AG687" s="23" t="s">
        <v>549</v>
      </c>
      <c r="AH687" s="23" t="s">
        <v>549</v>
      </c>
      <c r="AI687" s="23" t="s">
        <v>230</v>
      </c>
      <c r="AM687" s="23" t="s">
        <v>443</v>
      </c>
      <c r="AN687" s="23" t="s">
        <v>551</v>
      </c>
      <c r="AO687" s="23" t="s">
        <v>618</v>
      </c>
      <c r="AP687" s="23" t="s">
        <v>154</v>
      </c>
      <c r="AQ687" s="23">
        <v>4</v>
      </c>
      <c r="AR687" s="23">
        <v>4</v>
      </c>
      <c r="AS687" s="23" t="s">
        <v>404</v>
      </c>
      <c r="AW687" s="64"/>
      <c r="DG687" s="23">
        <v>0.15640000000000001</v>
      </c>
      <c r="DH687" s="23">
        <v>0.1958</v>
      </c>
      <c r="DI687" s="23" t="s">
        <v>552</v>
      </c>
      <c r="DS687" s="12"/>
      <c r="DU687" s="15"/>
      <c r="FA687" s="23" t="s">
        <v>855</v>
      </c>
      <c r="FC687" s="23">
        <v>30</v>
      </c>
    </row>
    <row r="688" spans="1:159" s="23" customFormat="1" x14ac:dyDescent="0.25">
      <c r="A688" s="23">
        <v>30</v>
      </c>
      <c r="B688" s="23" t="s">
        <v>545</v>
      </c>
      <c r="C688" s="23" t="s">
        <v>546</v>
      </c>
      <c r="D688" s="23">
        <v>2002</v>
      </c>
      <c r="E688" s="23">
        <v>2000</v>
      </c>
      <c r="F688" s="23" t="s">
        <v>547</v>
      </c>
      <c r="G688" s="23" t="s">
        <v>548</v>
      </c>
      <c r="H688" s="23">
        <f t="shared" si="209"/>
        <v>38.533333333333331</v>
      </c>
      <c r="I688" s="23">
        <f t="shared" si="210"/>
        <v>-121.78333333333333</v>
      </c>
      <c r="J688" s="23">
        <v>18.399999999999999</v>
      </c>
      <c r="N688" s="23">
        <v>483</v>
      </c>
      <c r="P688" s="53" t="s">
        <v>182</v>
      </c>
      <c r="Q688" s="53"/>
      <c r="R688" s="53">
        <v>36582</v>
      </c>
      <c r="S688" s="53" t="s">
        <v>1663</v>
      </c>
      <c r="T688" s="53" t="s">
        <v>1682</v>
      </c>
      <c r="V688" s="23">
        <v>36</v>
      </c>
      <c r="W688" s="23">
        <v>46</v>
      </c>
      <c r="X688" s="23" t="s">
        <v>175</v>
      </c>
      <c r="AB688" s="23" t="s">
        <v>1566</v>
      </c>
      <c r="AC688" s="23" t="s">
        <v>1817</v>
      </c>
      <c r="AD688" s="153" t="str">
        <f t="shared" si="208"/>
        <v>Common_Vetch</v>
      </c>
      <c r="AE688" s="23" t="s">
        <v>1635</v>
      </c>
      <c r="AG688" s="23" t="s">
        <v>549</v>
      </c>
      <c r="AH688" s="23" t="s">
        <v>549</v>
      </c>
      <c r="AI688" s="23" t="s">
        <v>230</v>
      </c>
      <c r="AM688" s="23" t="s">
        <v>443</v>
      </c>
      <c r="AN688" s="23" t="s">
        <v>550</v>
      </c>
      <c r="AO688" s="23" t="s">
        <v>618</v>
      </c>
      <c r="AP688" s="23" t="s">
        <v>154</v>
      </c>
      <c r="AQ688" s="23">
        <v>4</v>
      </c>
      <c r="AR688" s="23">
        <v>4</v>
      </c>
      <c r="AS688" s="23" t="s">
        <v>404</v>
      </c>
      <c r="AW688" s="64"/>
      <c r="DG688" s="23">
        <v>0.17100000000000001</v>
      </c>
      <c r="DH688" s="23">
        <v>0.20399999999999999</v>
      </c>
      <c r="DI688" s="23" t="s">
        <v>552</v>
      </c>
      <c r="DS688" s="12"/>
      <c r="DU688" s="15"/>
      <c r="FA688" s="23" t="s">
        <v>855</v>
      </c>
      <c r="FC688" s="23">
        <v>30</v>
      </c>
    </row>
    <row r="689" spans="1:159" s="23" customFormat="1" x14ac:dyDescent="0.25">
      <c r="A689" s="23">
        <v>30</v>
      </c>
      <c r="B689" s="23" t="s">
        <v>545</v>
      </c>
      <c r="C689" s="23" t="s">
        <v>546</v>
      </c>
      <c r="D689" s="23">
        <v>2002</v>
      </c>
      <c r="E689" s="23">
        <v>2000</v>
      </c>
      <c r="F689" s="23" t="s">
        <v>547</v>
      </c>
      <c r="G689" s="23" t="s">
        <v>548</v>
      </c>
      <c r="H689" s="23">
        <f t="shared" si="209"/>
        <v>38.533333333333331</v>
      </c>
      <c r="I689" s="23">
        <f t="shared" si="210"/>
        <v>-121.78333333333333</v>
      </c>
      <c r="J689" s="23">
        <v>18.399999999999999</v>
      </c>
      <c r="N689" s="23">
        <v>483</v>
      </c>
      <c r="P689" s="53" t="s">
        <v>182</v>
      </c>
      <c r="Q689" s="53"/>
      <c r="R689" s="53">
        <v>36582</v>
      </c>
      <c r="S689" s="53" t="s">
        <v>1663</v>
      </c>
      <c r="T689" s="53" t="s">
        <v>1682</v>
      </c>
      <c r="V689" s="23">
        <v>36</v>
      </c>
      <c r="W689" s="23">
        <v>46</v>
      </c>
      <c r="X689" s="23" t="s">
        <v>175</v>
      </c>
      <c r="AB689" s="23" t="s">
        <v>1566</v>
      </c>
      <c r="AC689" s="23" t="s">
        <v>1817</v>
      </c>
      <c r="AD689" s="153" t="str">
        <f t="shared" si="208"/>
        <v>Common_Vetch</v>
      </c>
      <c r="AE689" s="23" t="s">
        <v>1635</v>
      </c>
      <c r="AG689" s="23" t="s">
        <v>549</v>
      </c>
      <c r="AH689" s="23" t="s">
        <v>549</v>
      </c>
      <c r="AI689" s="23" t="s">
        <v>230</v>
      </c>
      <c r="AM689" s="23" t="s">
        <v>443</v>
      </c>
      <c r="AN689" s="23" t="s">
        <v>551</v>
      </c>
      <c r="AO689" s="23" t="s">
        <v>618</v>
      </c>
      <c r="AP689" s="23" t="s">
        <v>154</v>
      </c>
      <c r="AQ689" s="23">
        <v>4</v>
      </c>
      <c r="AR689" s="23">
        <v>4</v>
      </c>
      <c r="AS689" s="23" t="s">
        <v>404</v>
      </c>
      <c r="AW689" s="64"/>
      <c r="DG689" s="23">
        <v>0.17100000000000001</v>
      </c>
      <c r="DH689" s="23">
        <v>0.20399999999999999</v>
      </c>
      <c r="DI689" s="23" t="s">
        <v>552</v>
      </c>
      <c r="DS689" s="12"/>
      <c r="DU689" s="15"/>
      <c r="FA689" s="23" t="s">
        <v>855</v>
      </c>
      <c r="FC689" s="23">
        <v>30</v>
      </c>
    </row>
    <row r="690" spans="1:159" s="23" customFormat="1" x14ac:dyDescent="0.25">
      <c r="A690" s="23">
        <v>30</v>
      </c>
      <c r="B690" s="23" t="s">
        <v>545</v>
      </c>
      <c r="C690" s="23" t="s">
        <v>546</v>
      </c>
      <c r="D690" s="23">
        <v>2002</v>
      </c>
      <c r="E690" s="23">
        <v>2000</v>
      </c>
      <c r="F690" s="23" t="s">
        <v>547</v>
      </c>
      <c r="G690" s="23" t="s">
        <v>548</v>
      </c>
      <c r="H690" s="23">
        <f t="shared" si="209"/>
        <v>38.533333333333331</v>
      </c>
      <c r="I690" s="23">
        <f t="shared" si="210"/>
        <v>-121.78333333333333</v>
      </c>
      <c r="J690" s="23">
        <v>18.399999999999999</v>
      </c>
      <c r="N690" s="23">
        <v>483</v>
      </c>
      <c r="P690" s="53" t="s">
        <v>182</v>
      </c>
      <c r="Q690" s="53"/>
      <c r="R690" s="53">
        <v>36587</v>
      </c>
      <c r="S690" s="53" t="s">
        <v>1663</v>
      </c>
      <c r="T690" s="53" t="s">
        <v>1682</v>
      </c>
      <c r="V690" s="23">
        <v>36</v>
      </c>
      <c r="W690" s="23">
        <v>46</v>
      </c>
      <c r="X690" s="23" t="s">
        <v>175</v>
      </c>
      <c r="AB690" s="23" t="s">
        <v>1566</v>
      </c>
      <c r="AC690" s="23" t="s">
        <v>1817</v>
      </c>
      <c r="AD690" s="153" t="str">
        <f t="shared" si="208"/>
        <v>Common_Vetch</v>
      </c>
      <c r="AE690" s="23" t="s">
        <v>1635</v>
      </c>
      <c r="AG690" s="23" t="s">
        <v>549</v>
      </c>
      <c r="AH690" s="23" t="s">
        <v>549</v>
      </c>
      <c r="AI690" s="23" t="s">
        <v>230</v>
      </c>
      <c r="AM690" s="23" t="s">
        <v>443</v>
      </c>
      <c r="AN690" s="23" t="s">
        <v>550</v>
      </c>
      <c r="AO690" s="23" t="s">
        <v>618</v>
      </c>
      <c r="AP690" s="23" t="s">
        <v>154</v>
      </c>
      <c r="AQ690" s="23">
        <v>4</v>
      </c>
      <c r="AR690" s="23">
        <v>4</v>
      </c>
      <c r="AS690" s="23" t="s">
        <v>404</v>
      </c>
      <c r="AW690" s="64"/>
      <c r="DG690" s="23">
        <v>0.17660000000000001</v>
      </c>
      <c r="DH690" s="23">
        <v>0.20860000000000001</v>
      </c>
      <c r="DI690" s="23" t="s">
        <v>552</v>
      </c>
      <c r="DS690" s="12"/>
      <c r="DU690" s="15"/>
      <c r="FA690" s="23" t="s">
        <v>855</v>
      </c>
      <c r="FC690" s="23">
        <v>30</v>
      </c>
    </row>
    <row r="691" spans="1:159" s="23" customFormat="1" x14ac:dyDescent="0.25">
      <c r="A691" s="23">
        <v>30</v>
      </c>
      <c r="B691" s="23" t="s">
        <v>545</v>
      </c>
      <c r="C691" s="23" t="s">
        <v>546</v>
      </c>
      <c r="D691" s="23">
        <v>2002</v>
      </c>
      <c r="E691" s="23">
        <v>2000</v>
      </c>
      <c r="F691" s="23" t="s">
        <v>547</v>
      </c>
      <c r="G691" s="23" t="s">
        <v>548</v>
      </c>
      <c r="H691" s="23">
        <f t="shared" si="209"/>
        <v>38.533333333333331</v>
      </c>
      <c r="I691" s="23">
        <f t="shared" si="210"/>
        <v>-121.78333333333333</v>
      </c>
      <c r="J691" s="23">
        <v>18.399999999999999</v>
      </c>
      <c r="N691" s="23">
        <v>483</v>
      </c>
      <c r="P691" s="53" t="s">
        <v>182</v>
      </c>
      <c r="Q691" s="53"/>
      <c r="R691" s="53">
        <v>36587</v>
      </c>
      <c r="S691" s="53" t="s">
        <v>1663</v>
      </c>
      <c r="T691" s="53" t="s">
        <v>1682</v>
      </c>
      <c r="V691" s="23">
        <v>36</v>
      </c>
      <c r="W691" s="23">
        <v>46</v>
      </c>
      <c r="X691" s="23" t="s">
        <v>175</v>
      </c>
      <c r="AB691" s="23" t="s">
        <v>1566</v>
      </c>
      <c r="AC691" s="23" t="s">
        <v>1817</v>
      </c>
      <c r="AD691" s="153" t="str">
        <f t="shared" si="208"/>
        <v>Common_Vetch</v>
      </c>
      <c r="AE691" s="23" t="s">
        <v>1635</v>
      </c>
      <c r="AG691" s="23" t="s">
        <v>549</v>
      </c>
      <c r="AH691" s="23" t="s">
        <v>549</v>
      </c>
      <c r="AI691" s="23" t="s">
        <v>230</v>
      </c>
      <c r="AM691" s="23" t="s">
        <v>443</v>
      </c>
      <c r="AN691" s="23" t="s">
        <v>551</v>
      </c>
      <c r="AO691" s="23" t="s">
        <v>618</v>
      </c>
      <c r="AP691" s="23" t="s">
        <v>154</v>
      </c>
      <c r="AQ691" s="23">
        <v>4</v>
      </c>
      <c r="AR691" s="23">
        <v>4</v>
      </c>
      <c r="AS691" s="23" t="s">
        <v>404</v>
      </c>
      <c r="AW691" s="64"/>
      <c r="DG691" s="23">
        <v>0.17660000000000001</v>
      </c>
      <c r="DH691" s="23">
        <v>0.20860000000000001</v>
      </c>
      <c r="DI691" s="23" t="s">
        <v>552</v>
      </c>
      <c r="DS691" s="12"/>
      <c r="DU691" s="15"/>
      <c r="FA691" s="23" t="s">
        <v>855</v>
      </c>
      <c r="FC691" s="23">
        <v>30</v>
      </c>
    </row>
    <row r="692" spans="1:159" s="23" customFormat="1" x14ac:dyDescent="0.25">
      <c r="A692" s="23">
        <v>30</v>
      </c>
      <c r="B692" s="23" t="s">
        <v>545</v>
      </c>
      <c r="C692" s="23" t="s">
        <v>546</v>
      </c>
      <c r="D692" s="23">
        <v>2002</v>
      </c>
      <c r="E692" s="23">
        <v>2000</v>
      </c>
      <c r="F692" s="23" t="s">
        <v>547</v>
      </c>
      <c r="G692" s="23" t="s">
        <v>548</v>
      </c>
      <c r="H692" s="23">
        <f t="shared" si="209"/>
        <v>38.533333333333331</v>
      </c>
      <c r="I692" s="23">
        <f t="shared" si="210"/>
        <v>-121.78333333333333</v>
      </c>
      <c r="J692" s="23">
        <v>18.399999999999999</v>
      </c>
      <c r="N692" s="23">
        <v>483</v>
      </c>
      <c r="P692" s="53" t="s">
        <v>182</v>
      </c>
      <c r="Q692" s="53"/>
      <c r="R692" s="53">
        <v>36598</v>
      </c>
      <c r="S692" s="53" t="s">
        <v>1663</v>
      </c>
      <c r="T692" s="53" t="s">
        <v>1682</v>
      </c>
      <c r="V692" s="23">
        <v>36</v>
      </c>
      <c r="W692" s="23">
        <v>46</v>
      </c>
      <c r="X692" s="23" t="s">
        <v>175</v>
      </c>
      <c r="AB692" s="23" t="s">
        <v>1566</v>
      </c>
      <c r="AC692" s="23" t="s">
        <v>1817</v>
      </c>
      <c r="AD692" s="153" t="str">
        <f t="shared" si="208"/>
        <v>Common_Vetch</v>
      </c>
      <c r="AE692" s="23" t="s">
        <v>1635</v>
      </c>
      <c r="AG692" s="23" t="s">
        <v>549</v>
      </c>
      <c r="AH692" s="23" t="s">
        <v>549</v>
      </c>
      <c r="AI692" s="23" t="s">
        <v>230</v>
      </c>
      <c r="AM692" s="23" t="s">
        <v>443</v>
      </c>
      <c r="AN692" s="23" t="s">
        <v>550</v>
      </c>
      <c r="AO692" s="23" t="s">
        <v>618</v>
      </c>
      <c r="AP692" s="23" t="s">
        <v>154</v>
      </c>
      <c r="AQ692" s="23">
        <v>4</v>
      </c>
      <c r="AR692" s="23">
        <v>4</v>
      </c>
      <c r="AS692" s="23" t="s">
        <v>404</v>
      </c>
      <c r="AW692" s="64"/>
      <c r="DG692" s="23">
        <v>0.1757</v>
      </c>
      <c r="DH692" s="23">
        <v>0.21790000000000001</v>
      </c>
      <c r="DI692" s="23" t="s">
        <v>552</v>
      </c>
      <c r="DS692" s="12"/>
      <c r="DU692" s="15"/>
      <c r="FA692" s="23" t="s">
        <v>855</v>
      </c>
      <c r="FC692" s="23">
        <v>30</v>
      </c>
    </row>
    <row r="693" spans="1:159" s="23" customFormat="1" x14ac:dyDescent="0.25">
      <c r="A693" s="23">
        <v>30</v>
      </c>
      <c r="B693" s="23" t="s">
        <v>545</v>
      </c>
      <c r="C693" s="23" t="s">
        <v>546</v>
      </c>
      <c r="D693" s="23">
        <v>2002</v>
      </c>
      <c r="E693" s="23">
        <v>2000</v>
      </c>
      <c r="F693" s="23" t="s">
        <v>547</v>
      </c>
      <c r="G693" s="23" t="s">
        <v>548</v>
      </c>
      <c r="H693" s="23">
        <f t="shared" si="209"/>
        <v>38.533333333333331</v>
      </c>
      <c r="I693" s="23">
        <f t="shared" si="210"/>
        <v>-121.78333333333333</v>
      </c>
      <c r="J693" s="23">
        <v>18.399999999999999</v>
      </c>
      <c r="N693" s="23">
        <v>483</v>
      </c>
      <c r="P693" s="53" t="s">
        <v>182</v>
      </c>
      <c r="Q693" s="53"/>
      <c r="R693" s="53">
        <v>36598</v>
      </c>
      <c r="S693" s="53" t="s">
        <v>1663</v>
      </c>
      <c r="T693" s="53" t="s">
        <v>1682</v>
      </c>
      <c r="V693" s="23">
        <v>36</v>
      </c>
      <c r="W693" s="23">
        <v>46</v>
      </c>
      <c r="X693" s="23" t="s">
        <v>175</v>
      </c>
      <c r="AB693" s="23" t="s">
        <v>1566</v>
      </c>
      <c r="AC693" s="23" t="s">
        <v>1817</v>
      </c>
      <c r="AD693" s="153" t="str">
        <f t="shared" si="208"/>
        <v>Common_Vetch</v>
      </c>
      <c r="AE693" s="23" t="s">
        <v>1635</v>
      </c>
      <c r="AG693" s="23" t="s">
        <v>549</v>
      </c>
      <c r="AH693" s="23" t="s">
        <v>549</v>
      </c>
      <c r="AI693" s="23" t="s">
        <v>230</v>
      </c>
      <c r="AM693" s="23" t="s">
        <v>443</v>
      </c>
      <c r="AN693" s="23" t="s">
        <v>551</v>
      </c>
      <c r="AO693" s="23" t="s">
        <v>618</v>
      </c>
      <c r="AP693" s="23" t="s">
        <v>154</v>
      </c>
      <c r="AQ693" s="23">
        <v>4</v>
      </c>
      <c r="AR693" s="23">
        <v>4</v>
      </c>
      <c r="AS693" s="23" t="s">
        <v>404</v>
      </c>
      <c r="AW693" s="64"/>
      <c r="DG693" s="23">
        <v>0.1757</v>
      </c>
      <c r="DH693" s="23">
        <v>0.21060000000000001</v>
      </c>
      <c r="DI693" s="23" t="s">
        <v>552</v>
      </c>
      <c r="DS693" s="12"/>
      <c r="DU693" s="15"/>
      <c r="FA693" s="23" t="s">
        <v>855</v>
      </c>
      <c r="FC693" s="23">
        <v>30</v>
      </c>
    </row>
    <row r="694" spans="1:159" s="26" customFormat="1" x14ac:dyDescent="0.25">
      <c r="A694" s="26">
        <v>31</v>
      </c>
      <c r="B694" s="26" t="s">
        <v>555</v>
      </c>
      <c r="C694" s="26" t="s">
        <v>556</v>
      </c>
      <c r="D694" s="26">
        <v>1999</v>
      </c>
      <c r="E694" s="26">
        <v>1997</v>
      </c>
      <c r="F694" s="26" t="s">
        <v>557</v>
      </c>
      <c r="G694" s="26" t="s">
        <v>381</v>
      </c>
      <c r="H694" s="26">
        <v>40.716666666666669</v>
      </c>
      <c r="I694" s="26">
        <v>-77.916666666666671</v>
      </c>
      <c r="J694" s="26">
        <v>350</v>
      </c>
      <c r="N694" s="26">
        <v>975</v>
      </c>
      <c r="P694" s="52" t="s">
        <v>179</v>
      </c>
      <c r="Q694" s="52"/>
      <c r="R694" s="52" t="s">
        <v>560</v>
      </c>
      <c r="S694" s="52" t="s">
        <v>1640</v>
      </c>
      <c r="T694" s="52" t="s">
        <v>1640</v>
      </c>
      <c r="X694" s="26" t="s">
        <v>558</v>
      </c>
      <c r="Y694" s="26">
        <v>6.38</v>
      </c>
      <c r="AC694" s="26" t="s">
        <v>1811</v>
      </c>
      <c r="AD694" s="153" t="str">
        <f t="shared" si="208"/>
        <v>Winter_wheat</v>
      </c>
      <c r="AE694" s="26" t="s">
        <v>167</v>
      </c>
      <c r="AJ694" s="26" t="s">
        <v>358</v>
      </c>
      <c r="AK694" s="26" t="s">
        <v>358</v>
      </c>
      <c r="AL694" s="26" t="s">
        <v>230</v>
      </c>
      <c r="AM694" s="26" t="s">
        <v>565</v>
      </c>
      <c r="AN694" s="26" t="s">
        <v>565</v>
      </c>
      <c r="AP694" s="26" t="s">
        <v>154</v>
      </c>
      <c r="AQ694" s="26">
        <v>5</v>
      </c>
      <c r="AR694" s="26">
        <v>5</v>
      </c>
      <c r="AS694" s="26" t="s">
        <v>177</v>
      </c>
      <c r="AW694" s="63" t="s">
        <v>358</v>
      </c>
      <c r="AX694" s="26" t="s">
        <v>564</v>
      </c>
      <c r="AY694" s="26">
        <v>0.44500000000000001</v>
      </c>
      <c r="AZ694" s="26">
        <v>0.36470000000000002</v>
      </c>
      <c r="BA694" s="26" t="s">
        <v>1014</v>
      </c>
      <c r="BB694" s="26">
        <f>(29.13*48545)/1000</f>
        <v>1414.1158499999999</v>
      </c>
      <c r="BC694" s="26">
        <f>(28.93*31255)/1000</f>
        <v>904.20715000000007</v>
      </c>
      <c r="CF694" s="26">
        <v>131.69999999999999</v>
      </c>
      <c r="CG694" s="26">
        <v>244.89</v>
      </c>
      <c r="DS694" s="26">
        <v>3.54</v>
      </c>
      <c r="DT694" s="26">
        <v>18.39</v>
      </c>
      <c r="DU694" s="26" t="s">
        <v>563</v>
      </c>
      <c r="FA694" s="26" t="s">
        <v>573</v>
      </c>
      <c r="FB694" s="26" t="s">
        <v>563</v>
      </c>
      <c r="FC694" s="26">
        <v>31</v>
      </c>
    </row>
    <row r="695" spans="1:159" s="26" customFormat="1" x14ac:dyDescent="0.25">
      <c r="A695" s="26">
        <v>31</v>
      </c>
      <c r="B695" s="26" t="s">
        <v>555</v>
      </c>
      <c r="C695" s="26" t="s">
        <v>556</v>
      </c>
      <c r="D695" s="26">
        <v>1999</v>
      </c>
      <c r="E695" s="26">
        <v>1997</v>
      </c>
      <c r="F695" s="26" t="s">
        <v>557</v>
      </c>
      <c r="G695" s="26" t="s">
        <v>381</v>
      </c>
      <c r="H695" s="26">
        <v>40.716666666666669</v>
      </c>
      <c r="I695" s="26">
        <v>-77.916666666666671</v>
      </c>
      <c r="J695" s="26">
        <v>350</v>
      </c>
      <c r="N695" s="26">
        <v>975</v>
      </c>
      <c r="P695" s="52" t="s">
        <v>179</v>
      </c>
      <c r="Q695" s="52"/>
      <c r="R695" s="52" t="s">
        <v>560</v>
      </c>
      <c r="S695" s="52" t="s">
        <v>1640</v>
      </c>
      <c r="T695" s="52" t="s">
        <v>1640</v>
      </c>
      <c r="X695" s="26" t="s">
        <v>558</v>
      </c>
      <c r="Y695" s="26">
        <v>6.38</v>
      </c>
      <c r="AC695" s="26" t="s">
        <v>559</v>
      </c>
      <c r="AD695" s="153" t="str">
        <f t="shared" si="208"/>
        <v>Dandelion</v>
      </c>
      <c r="AE695" s="26" t="s">
        <v>167</v>
      </c>
      <c r="AJ695" s="26" t="s">
        <v>358</v>
      </c>
      <c r="AK695" s="26" t="s">
        <v>358</v>
      </c>
      <c r="AL695" s="26" t="s">
        <v>230</v>
      </c>
      <c r="AM695" s="26" t="s">
        <v>565</v>
      </c>
      <c r="AN695" s="26" t="s">
        <v>565</v>
      </c>
      <c r="AP695" s="26" t="s">
        <v>154</v>
      </c>
      <c r="AQ695" s="26">
        <v>5</v>
      </c>
      <c r="AR695" s="26">
        <v>5</v>
      </c>
      <c r="AS695" s="26" t="s">
        <v>177</v>
      </c>
      <c r="AW695" s="63" t="s">
        <v>358</v>
      </c>
      <c r="AX695" s="26" t="s">
        <v>564</v>
      </c>
      <c r="AY695" s="26">
        <v>0.44500000000000001</v>
      </c>
      <c r="AZ695" s="26">
        <v>0.48680000000000001</v>
      </c>
      <c r="BA695" s="26" t="s">
        <v>1014</v>
      </c>
      <c r="BB695" s="26">
        <f>(29.13*48545)/1000</f>
        <v>1414.1158499999999</v>
      </c>
      <c r="BC695" s="26">
        <f>(35.33*45885)/1000</f>
        <v>1621.1170499999998</v>
      </c>
      <c r="CF695" s="26">
        <v>131.69999999999999</v>
      </c>
      <c r="CG695" s="26">
        <v>271.95999999999998</v>
      </c>
      <c r="DS695" s="26">
        <v>3.54</v>
      </c>
      <c r="DT695" s="26">
        <v>16.77</v>
      </c>
      <c r="DU695" s="26" t="s">
        <v>563</v>
      </c>
      <c r="FA695" s="26" t="s">
        <v>573</v>
      </c>
      <c r="FB695" s="26" t="s">
        <v>563</v>
      </c>
      <c r="FC695" s="26">
        <v>31</v>
      </c>
    </row>
    <row r="696" spans="1:159" s="26" customFormat="1" x14ac:dyDescent="0.25">
      <c r="A696" s="26">
        <v>31</v>
      </c>
      <c r="B696" s="26" t="s">
        <v>555</v>
      </c>
      <c r="C696" s="26" t="s">
        <v>556</v>
      </c>
      <c r="D696" s="26">
        <v>1999</v>
      </c>
      <c r="E696" s="26">
        <v>1997</v>
      </c>
      <c r="F696" s="26" t="s">
        <v>557</v>
      </c>
      <c r="G696" s="26" t="s">
        <v>381</v>
      </c>
      <c r="H696" s="26">
        <v>40.716666666666669</v>
      </c>
      <c r="I696" s="26">
        <v>-77.916666666666671</v>
      </c>
      <c r="J696" s="26">
        <v>350</v>
      </c>
      <c r="N696" s="26">
        <v>975</v>
      </c>
      <c r="P696" s="52" t="s">
        <v>179</v>
      </c>
      <c r="Q696" s="52"/>
      <c r="R696" s="52" t="s">
        <v>561</v>
      </c>
      <c r="S696" s="52" t="s">
        <v>1640</v>
      </c>
      <c r="T696" s="52" t="s">
        <v>1640</v>
      </c>
      <c r="X696" s="26" t="s">
        <v>558</v>
      </c>
      <c r="Y696" s="26">
        <v>6.38</v>
      </c>
      <c r="AC696" s="26" t="s">
        <v>1811</v>
      </c>
      <c r="AD696" s="153" t="str">
        <f t="shared" si="208"/>
        <v>Winter_wheat</v>
      </c>
      <c r="AE696" s="26" t="s">
        <v>167</v>
      </c>
      <c r="AJ696" s="26" t="s">
        <v>358</v>
      </c>
      <c r="AK696" s="26" t="s">
        <v>358</v>
      </c>
      <c r="AL696" s="26" t="s">
        <v>230</v>
      </c>
      <c r="AM696" s="26" t="s">
        <v>565</v>
      </c>
      <c r="AN696" s="26" t="s">
        <v>565</v>
      </c>
      <c r="AP696" s="26" t="s">
        <v>154</v>
      </c>
      <c r="AQ696" s="26">
        <v>5</v>
      </c>
      <c r="AR696" s="26">
        <v>5</v>
      </c>
      <c r="AS696" s="26" t="s">
        <v>177</v>
      </c>
      <c r="AW696" s="63" t="s">
        <v>358</v>
      </c>
      <c r="AX696" s="26" t="s">
        <v>564</v>
      </c>
      <c r="AY696" s="26">
        <v>2.3849999999999998</v>
      </c>
      <c r="AZ696" s="26">
        <v>2.7770000000000001</v>
      </c>
      <c r="BA696" s="26" t="s">
        <v>1014</v>
      </c>
      <c r="DS696" s="26">
        <v>16.531400000000001</v>
      </c>
      <c r="DT696" s="26">
        <v>26.787500000000001</v>
      </c>
      <c r="DU696" s="26" t="s">
        <v>563</v>
      </c>
      <c r="FA696" s="26" t="s">
        <v>573</v>
      </c>
      <c r="FB696" s="26" t="s">
        <v>563</v>
      </c>
      <c r="FC696" s="26">
        <v>31</v>
      </c>
    </row>
    <row r="697" spans="1:159" s="26" customFormat="1" x14ac:dyDescent="0.25">
      <c r="A697" s="26">
        <v>31</v>
      </c>
      <c r="B697" s="26" t="s">
        <v>555</v>
      </c>
      <c r="C697" s="26" t="s">
        <v>556</v>
      </c>
      <c r="D697" s="26">
        <v>1999</v>
      </c>
      <c r="E697" s="26">
        <v>1997</v>
      </c>
      <c r="F697" s="26" t="s">
        <v>557</v>
      </c>
      <c r="G697" s="26" t="s">
        <v>381</v>
      </c>
      <c r="H697" s="26">
        <v>40.716666666666669</v>
      </c>
      <c r="I697" s="26">
        <v>-77.916666666666671</v>
      </c>
      <c r="J697" s="26">
        <v>350</v>
      </c>
      <c r="N697" s="26">
        <v>975</v>
      </c>
      <c r="P697" s="52" t="s">
        <v>179</v>
      </c>
      <c r="Q697" s="52"/>
      <c r="R697" s="52" t="s">
        <v>561</v>
      </c>
      <c r="S697" s="52" t="s">
        <v>1640</v>
      </c>
      <c r="T697" s="52" t="s">
        <v>1640</v>
      </c>
      <c r="X697" s="26" t="s">
        <v>558</v>
      </c>
      <c r="Y697" s="26">
        <v>6.38</v>
      </c>
      <c r="AC697" s="26" t="s">
        <v>559</v>
      </c>
      <c r="AD697" s="153" t="str">
        <f t="shared" si="208"/>
        <v>Dandelion</v>
      </c>
      <c r="AE697" s="26" t="s">
        <v>167</v>
      </c>
      <c r="AJ697" s="26" t="s">
        <v>358</v>
      </c>
      <c r="AK697" s="26" t="s">
        <v>358</v>
      </c>
      <c r="AL697" s="26" t="s">
        <v>230</v>
      </c>
      <c r="AM697" s="26" t="s">
        <v>565</v>
      </c>
      <c r="AN697" s="26" t="s">
        <v>565</v>
      </c>
      <c r="AP697" s="26" t="s">
        <v>154</v>
      </c>
      <c r="AQ697" s="26">
        <v>5</v>
      </c>
      <c r="AR697" s="26">
        <v>5</v>
      </c>
      <c r="AS697" s="26" t="s">
        <v>177</v>
      </c>
      <c r="AW697" s="63" t="s">
        <v>358</v>
      </c>
      <c r="AX697" s="26" t="s">
        <v>564</v>
      </c>
      <c r="AY697" s="26">
        <v>2.3849999999999998</v>
      </c>
      <c r="AZ697" s="26">
        <v>3.3530000000000002</v>
      </c>
      <c r="BA697" s="26" t="s">
        <v>1014</v>
      </c>
      <c r="DS697" s="26">
        <v>16.531400000000001</v>
      </c>
      <c r="DT697" s="26">
        <v>39.47</v>
      </c>
      <c r="DU697" s="26" t="s">
        <v>563</v>
      </c>
      <c r="FA697" s="26" t="s">
        <v>573</v>
      </c>
      <c r="FB697" s="26" t="s">
        <v>563</v>
      </c>
      <c r="FC697" s="26">
        <v>31</v>
      </c>
    </row>
    <row r="698" spans="1:159" s="26" customFormat="1" x14ac:dyDescent="0.25">
      <c r="A698" s="26">
        <v>31</v>
      </c>
      <c r="B698" s="26" t="s">
        <v>555</v>
      </c>
      <c r="C698" s="26" t="s">
        <v>556</v>
      </c>
      <c r="D698" s="26">
        <v>1999</v>
      </c>
      <c r="E698" s="26">
        <v>1997</v>
      </c>
      <c r="F698" s="26" t="s">
        <v>557</v>
      </c>
      <c r="G698" s="26" t="s">
        <v>381</v>
      </c>
      <c r="H698" s="26">
        <v>40.716666666666669</v>
      </c>
      <c r="I698" s="26">
        <v>-77.916666666666671</v>
      </c>
      <c r="J698" s="26">
        <v>350</v>
      </c>
      <c r="N698" s="26">
        <v>975</v>
      </c>
      <c r="P698" s="52" t="s">
        <v>179</v>
      </c>
      <c r="Q698" s="52"/>
      <c r="R698" s="52" t="s">
        <v>562</v>
      </c>
      <c r="S698" s="52" t="s">
        <v>1640</v>
      </c>
      <c r="T698" s="52" t="s">
        <v>1640</v>
      </c>
      <c r="X698" s="26" t="s">
        <v>558</v>
      </c>
      <c r="Y698" s="26">
        <v>6.38</v>
      </c>
      <c r="AC698" s="26" t="s">
        <v>1811</v>
      </c>
      <c r="AD698" s="153" t="str">
        <f t="shared" si="208"/>
        <v>Winter_wheat</v>
      </c>
      <c r="AE698" s="26" t="s">
        <v>167</v>
      </c>
      <c r="AJ698" s="26" t="s">
        <v>358</v>
      </c>
      <c r="AK698" s="26" t="s">
        <v>358</v>
      </c>
      <c r="AL698" s="26" t="s">
        <v>230</v>
      </c>
      <c r="AM698" s="26" t="s">
        <v>565</v>
      </c>
      <c r="AN698" s="26" t="s">
        <v>565</v>
      </c>
      <c r="AP698" s="26" t="s">
        <v>154</v>
      </c>
      <c r="AQ698" s="26">
        <v>5</v>
      </c>
      <c r="AR698" s="26">
        <v>5</v>
      </c>
      <c r="AS698" s="26" t="s">
        <v>177</v>
      </c>
      <c r="AW698" s="63" t="s">
        <v>358</v>
      </c>
      <c r="DS698" s="26">
        <v>45.444699999999997</v>
      </c>
      <c r="DT698" s="26">
        <v>61.37</v>
      </c>
      <c r="DU698" s="26" t="s">
        <v>563</v>
      </c>
      <c r="FA698" s="26" t="s">
        <v>573</v>
      </c>
      <c r="FB698" s="26" t="s">
        <v>563</v>
      </c>
      <c r="FC698" s="26">
        <v>31</v>
      </c>
    </row>
    <row r="699" spans="1:159" s="26" customFormat="1" x14ac:dyDescent="0.25">
      <c r="A699" s="26">
        <v>31</v>
      </c>
      <c r="B699" s="26" t="s">
        <v>555</v>
      </c>
      <c r="C699" s="26" t="s">
        <v>556</v>
      </c>
      <c r="D699" s="26">
        <v>1999</v>
      </c>
      <c r="E699" s="26">
        <v>1997</v>
      </c>
      <c r="F699" s="26" t="s">
        <v>557</v>
      </c>
      <c r="G699" s="26" t="s">
        <v>381</v>
      </c>
      <c r="H699" s="26">
        <v>40.716666666666669</v>
      </c>
      <c r="I699" s="26">
        <v>-77.916666666666671</v>
      </c>
      <c r="J699" s="26">
        <v>350</v>
      </c>
      <c r="N699" s="26">
        <v>975</v>
      </c>
      <c r="P699" s="52" t="s">
        <v>179</v>
      </c>
      <c r="Q699" s="52"/>
      <c r="R699" s="52" t="s">
        <v>562</v>
      </c>
      <c r="S699" s="52" t="s">
        <v>1640</v>
      </c>
      <c r="T699" s="52" t="s">
        <v>1640</v>
      </c>
      <c r="X699" s="26" t="s">
        <v>558</v>
      </c>
      <c r="Y699" s="26">
        <v>6.38</v>
      </c>
      <c r="AC699" s="26" t="s">
        <v>559</v>
      </c>
      <c r="AD699" s="153" t="str">
        <f t="shared" si="208"/>
        <v>Dandelion</v>
      </c>
      <c r="AE699" s="26" t="s">
        <v>167</v>
      </c>
      <c r="AJ699" s="26" t="s">
        <v>358</v>
      </c>
      <c r="AK699" s="26" t="s">
        <v>358</v>
      </c>
      <c r="AL699" s="26" t="s">
        <v>230</v>
      </c>
      <c r="AM699" s="26" t="s">
        <v>565</v>
      </c>
      <c r="AN699" s="26" t="s">
        <v>565</v>
      </c>
      <c r="AP699" s="26" t="s">
        <v>154</v>
      </c>
      <c r="AQ699" s="26">
        <v>5</v>
      </c>
      <c r="AR699" s="26">
        <v>5</v>
      </c>
      <c r="AS699" s="26" t="s">
        <v>177</v>
      </c>
      <c r="AW699" s="63" t="s">
        <v>358</v>
      </c>
      <c r="DS699" s="26">
        <v>45.444699999999997</v>
      </c>
      <c r="DT699" s="26">
        <v>82.69</v>
      </c>
      <c r="DU699" s="26" t="s">
        <v>563</v>
      </c>
      <c r="FA699" s="26" t="s">
        <v>573</v>
      </c>
      <c r="FB699" s="26" t="s">
        <v>563</v>
      </c>
      <c r="FC699" s="26">
        <v>31</v>
      </c>
    </row>
    <row r="700" spans="1:159" s="38" customFormat="1" x14ac:dyDescent="0.25">
      <c r="A700" s="38">
        <v>32</v>
      </c>
      <c r="B700" s="38" t="s">
        <v>566</v>
      </c>
      <c r="C700" s="38" t="s">
        <v>567</v>
      </c>
      <c r="D700" s="38">
        <v>2007</v>
      </c>
      <c r="E700" s="38">
        <v>2001</v>
      </c>
      <c r="F700" s="38" t="s">
        <v>524</v>
      </c>
      <c r="G700" s="38" t="s">
        <v>568</v>
      </c>
      <c r="H700" s="38">
        <f t="shared" ref="H700:H709" si="211">42.05</f>
        <v>42.05</v>
      </c>
      <c r="I700" s="38">
        <f t="shared" ref="I700:I709" si="212">-93.71</f>
        <v>-93.71</v>
      </c>
      <c r="J700" s="38">
        <v>307.8</v>
      </c>
      <c r="K700" s="38">
        <v>10.1</v>
      </c>
      <c r="L700" s="38">
        <v>9.1999999999999993</v>
      </c>
      <c r="M700" s="38">
        <v>807</v>
      </c>
      <c r="N700" s="38">
        <v>837</v>
      </c>
      <c r="P700" s="57" t="s">
        <v>179</v>
      </c>
      <c r="Q700" s="57"/>
      <c r="R700" s="57"/>
      <c r="S700" s="57" t="s">
        <v>1664</v>
      </c>
      <c r="T700" s="57" t="s">
        <v>1682</v>
      </c>
      <c r="U700" s="38">
        <v>1.25</v>
      </c>
      <c r="X700" s="38" t="s">
        <v>569</v>
      </c>
      <c r="AB700" s="38" t="s">
        <v>1567</v>
      </c>
      <c r="AC700" s="38" t="s">
        <v>572</v>
      </c>
      <c r="AD700" s="153" t="str">
        <f t="shared" si="208"/>
        <v>Gamagrass</v>
      </c>
      <c r="AE700" s="38" t="s">
        <v>205</v>
      </c>
      <c r="AG700" s="38" t="s">
        <v>570</v>
      </c>
      <c r="AH700" s="38" t="s">
        <v>570</v>
      </c>
      <c r="AI700" s="38" t="s">
        <v>230</v>
      </c>
      <c r="AJ700" s="38" t="s">
        <v>571</v>
      </c>
      <c r="AK700" s="38" t="s">
        <v>571</v>
      </c>
      <c r="AL700" s="38" t="s">
        <v>230</v>
      </c>
      <c r="AP700" s="38" t="s">
        <v>154</v>
      </c>
      <c r="AQ700" s="38">
        <v>4</v>
      </c>
      <c r="AR700" s="38">
        <v>4</v>
      </c>
      <c r="AS700" s="38" t="s">
        <v>177</v>
      </c>
      <c r="AW700" s="64"/>
      <c r="BK700" s="38">
        <f>27.6*0.067</f>
        <v>1.8492000000000002</v>
      </c>
      <c r="BL700" s="38">
        <f>27.8*0.067</f>
        <v>1.8626000000000003</v>
      </c>
      <c r="BM700" s="38" t="s">
        <v>574</v>
      </c>
      <c r="DS700" s="12"/>
      <c r="DU700" s="15"/>
      <c r="FC700" s="38">
        <v>32</v>
      </c>
    </row>
    <row r="701" spans="1:159" s="38" customFormat="1" x14ac:dyDescent="0.25">
      <c r="A701" s="38">
        <v>32</v>
      </c>
      <c r="B701" s="38" t="s">
        <v>566</v>
      </c>
      <c r="C701" s="38" t="s">
        <v>567</v>
      </c>
      <c r="D701" s="38">
        <v>2007</v>
      </c>
      <c r="E701" s="38">
        <v>2001</v>
      </c>
      <c r="F701" s="38" t="s">
        <v>524</v>
      </c>
      <c r="G701" s="38" t="s">
        <v>568</v>
      </c>
      <c r="H701" s="38">
        <f t="shared" si="211"/>
        <v>42.05</v>
      </c>
      <c r="I701" s="38">
        <f t="shared" si="212"/>
        <v>-93.71</v>
      </c>
      <c r="J701" s="38">
        <v>307.8</v>
      </c>
      <c r="K701" s="38">
        <v>10.1</v>
      </c>
      <c r="L701" s="38">
        <v>9.1999999999999993</v>
      </c>
      <c r="M701" s="38">
        <v>807</v>
      </c>
      <c r="N701" s="38">
        <v>837</v>
      </c>
      <c r="P701" s="57" t="s">
        <v>179</v>
      </c>
      <c r="Q701" s="57"/>
      <c r="R701" s="57"/>
      <c r="S701" s="57" t="s">
        <v>1664</v>
      </c>
      <c r="T701" s="57" t="s">
        <v>1682</v>
      </c>
      <c r="U701" s="38">
        <v>1.25</v>
      </c>
      <c r="X701" s="38" t="s">
        <v>569</v>
      </c>
      <c r="AB701" s="38" t="s">
        <v>1567</v>
      </c>
      <c r="AC701" s="38" t="s">
        <v>166</v>
      </c>
      <c r="AD701" s="153" t="str">
        <f t="shared" si="208"/>
        <v>Rye</v>
      </c>
      <c r="AE701" s="38" t="s">
        <v>167</v>
      </c>
      <c r="AG701" s="38" t="s">
        <v>570</v>
      </c>
      <c r="AH701" s="38" t="s">
        <v>570</v>
      </c>
      <c r="AI701" s="38" t="s">
        <v>230</v>
      </c>
      <c r="AJ701" s="38" t="s">
        <v>571</v>
      </c>
      <c r="AK701" s="38" t="s">
        <v>571</v>
      </c>
      <c r="AL701" s="38" t="s">
        <v>230</v>
      </c>
      <c r="AP701" s="38" t="s">
        <v>154</v>
      </c>
      <c r="AQ701" s="38">
        <v>4</v>
      </c>
      <c r="AR701" s="38">
        <v>4</v>
      </c>
      <c r="AS701" s="38" t="s">
        <v>177</v>
      </c>
      <c r="AW701" s="64"/>
      <c r="BK701" s="38">
        <f>27.6*0.067</f>
        <v>1.8492000000000002</v>
      </c>
      <c r="BL701" s="38">
        <f>13.7*0.067</f>
        <v>0.91790000000000005</v>
      </c>
      <c r="BM701" s="38" t="s">
        <v>574</v>
      </c>
      <c r="DS701" s="12"/>
      <c r="DU701" s="15"/>
      <c r="FC701" s="38">
        <v>32</v>
      </c>
    </row>
    <row r="702" spans="1:159" s="38" customFormat="1" x14ac:dyDescent="0.25">
      <c r="A702" s="38">
        <v>32</v>
      </c>
      <c r="B702" s="38" t="s">
        <v>566</v>
      </c>
      <c r="C702" s="38" t="s">
        <v>567</v>
      </c>
      <c r="D702" s="38">
        <v>2007</v>
      </c>
      <c r="E702" s="38">
        <v>2002</v>
      </c>
      <c r="F702" s="38" t="s">
        <v>524</v>
      </c>
      <c r="G702" s="38" t="s">
        <v>568</v>
      </c>
      <c r="H702" s="38">
        <f t="shared" si="211"/>
        <v>42.05</v>
      </c>
      <c r="I702" s="38">
        <f t="shared" si="212"/>
        <v>-93.71</v>
      </c>
      <c r="J702" s="38">
        <v>307.8</v>
      </c>
      <c r="K702" s="38">
        <v>10.199999999999999</v>
      </c>
      <c r="L702" s="38">
        <v>9.1999999999999993</v>
      </c>
      <c r="M702" s="38">
        <v>831</v>
      </c>
      <c r="N702" s="38">
        <v>837</v>
      </c>
      <c r="P702" s="57" t="s">
        <v>180</v>
      </c>
      <c r="Q702" s="57"/>
      <c r="R702" s="57"/>
      <c r="S702" s="57" t="s">
        <v>1664</v>
      </c>
      <c r="T702" s="57" t="s">
        <v>1682</v>
      </c>
      <c r="U702" s="38">
        <v>1.25</v>
      </c>
      <c r="X702" s="38" t="s">
        <v>569</v>
      </c>
      <c r="AB702" s="38" t="s">
        <v>1567</v>
      </c>
      <c r="AC702" s="38" t="s">
        <v>572</v>
      </c>
      <c r="AD702" s="153" t="str">
        <f t="shared" si="208"/>
        <v>Gamagrass</v>
      </c>
      <c r="AE702" s="38" t="s">
        <v>205</v>
      </c>
      <c r="AG702" s="38" t="s">
        <v>570</v>
      </c>
      <c r="AH702" s="38" t="s">
        <v>570</v>
      </c>
      <c r="AI702" s="38" t="s">
        <v>230</v>
      </c>
      <c r="AJ702" s="38" t="s">
        <v>571</v>
      </c>
      <c r="AK702" s="38" t="s">
        <v>571</v>
      </c>
      <c r="AL702" s="38" t="s">
        <v>230</v>
      </c>
      <c r="AP702" s="38" t="s">
        <v>154</v>
      </c>
      <c r="AQ702" s="38">
        <v>4</v>
      </c>
      <c r="AR702" s="38">
        <v>4</v>
      </c>
      <c r="AS702" s="38" t="s">
        <v>177</v>
      </c>
      <c r="AW702" s="64"/>
      <c r="BB702" s="38">
        <f>12.4*1000</f>
        <v>12400</v>
      </c>
      <c r="BC702" s="38">
        <f>12.1*1000</f>
        <v>12100</v>
      </c>
      <c r="BK702" s="38">
        <f>61.7*0.067</f>
        <v>4.1339000000000006</v>
      </c>
      <c r="BL702" s="38">
        <f>49.3*0.067</f>
        <v>3.3031000000000001</v>
      </c>
      <c r="BM702" s="38" t="s">
        <v>574</v>
      </c>
      <c r="DA702" s="38">
        <v>19.100000000000001</v>
      </c>
      <c r="DB702" s="38">
        <v>23.4</v>
      </c>
      <c r="DC702" s="38" t="s">
        <v>575</v>
      </c>
      <c r="DS702" s="12"/>
      <c r="DU702" s="15"/>
      <c r="FC702" s="38">
        <v>32</v>
      </c>
    </row>
    <row r="703" spans="1:159" s="38" customFormat="1" x14ac:dyDescent="0.25">
      <c r="A703" s="38">
        <v>32</v>
      </c>
      <c r="B703" s="38" t="s">
        <v>566</v>
      </c>
      <c r="C703" s="38" t="s">
        <v>567</v>
      </c>
      <c r="D703" s="38">
        <v>2007</v>
      </c>
      <c r="E703" s="38">
        <v>2002</v>
      </c>
      <c r="F703" s="38" t="s">
        <v>524</v>
      </c>
      <c r="G703" s="38" t="s">
        <v>568</v>
      </c>
      <c r="H703" s="38">
        <f t="shared" si="211"/>
        <v>42.05</v>
      </c>
      <c r="I703" s="38">
        <f t="shared" si="212"/>
        <v>-93.71</v>
      </c>
      <c r="J703" s="38">
        <v>307.8</v>
      </c>
      <c r="K703" s="38">
        <v>10.199999999999999</v>
      </c>
      <c r="L703" s="38">
        <v>9.1999999999999993</v>
      </c>
      <c r="M703" s="38">
        <v>831</v>
      </c>
      <c r="N703" s="38">
        <v>837</v>
      </c>
      <c r="P703" s="57" t="s">
        <v>180</v>
      </c>
      <c r="Q703" s="57"/>
      <c r="R703" s="57"/>
      <c r="S703" s="57" t="s">
        <v>1664</v>
      </c>
      <c r="T703" s="57" t="s">
        <v>1682</v>
      </c>
      <c r="U703" s="38">
        <v>1.25</v>
      </c>
      <c r="X703" s="38" t="s">
        <v>569</v>
      </c>
      <c r="AB703" s="38" t="s">
        <v>1567</v>
      </c>
      <c r="AC703" s="38" t="s">
        <v>166</v>
      </c>
      <c r="AD703" s="153" t="str">
        <f t="shared" si="208"/>
        <v>Rye</v>
      </c>
      <c r="AE703" s="38" t="s">
        <v>167</v>
      </c>
      <c r="AG703" s="38" t="s">
        <v>570</v>
      </c>
      <c r="AH703" s="38" t="s">
        <v>570</v>
      </c>
      <c r="AI703" s="38" t="s">
        <v>230</v>
      </c>
      <c r="AJ703" s="38" t="s">
        <v>571</v>
      </c>
      <c r="AK703" s="38" t="s">
        <v>571</v>
      </c>
      <c r="AL703" s="38" t="s">
        <v>230</v>
      </c>
      <c r="AP703" s="38" t="s">
        <v>154</v>
      </c>
      <c r="AQ703" s="38">
        <v>4</v>
      </c>
      <c r="AR703" s="38">
        <v>4</v>
      </c>
      <c r="AS703" s="38" t="s">
        <v>177</v>
      </c>
      <c r="AU703" s="38">
        <f>2.43*1000</f>
        <v>2430</v>
      </c>
      <c r="AV703" s="38">
        <f>AU703/55.88</f>
        <v>43.486041517537579</v>
      </c>
      <c r="AW703" s="64"/>
      <c r="BB703" s="38">
        <f>12.4*1000</f>
        <v>12400</v>
      </c>
      <c r="BC703" s="38">
        <f>11.2*1000</f>
        <v>11200</v>
      </c>
      <c r="BK703" s="38">
        <f>61.7*0.067</f>
        <v>4.1339000000000006</v>
      </c>
      <c r="BL703" s="38">
        <f>26.5*0.067</f>
        <v>1.7755000000000001</v>
      </c>
      <c r="BM703" s="38" t="s">
        <v>574</v>
      </c>
      <c r="DA703" s="38">
        <v>19.100000000000001</v>
      </c>
      <c r="DB703" s="38">
        <v>5.8</v>
      </c>
      <c r="DC703" s="38" t="s">
        <v>575</v>
      </c>
      <c r="DS703" s="12"/>
      <c r="DU703" s="15"/>
      <c r="FC703" s="38">
        <v>32</v>
      </c>
    </row>
    <row r="704" spans="1:159" s="38" customFormat="1" x14ac:dyDescent="0.25">
      <c r="A704" s="38">
        <v>32</v>
      </c>
      <c r="B704" s="38" t="s">
        <v>566</v>
      </c>
      <c r="C704" s="38" t="s">
        <v>567</v>
      </c>
      <c r="D704" s="38">
        <v>2007</v>
      </c>
      <c r="E704" s="38">
        <v>2003</v>
      </c>
      <c r="F704" s="38" t="s">
        <v>524</v>
      </c>
      <c r="G704" s="38" t="s">
        <v>568</v>
      </c>
      <c r="H704" s="38">
        <f t="shared" si="211"/>
        <v>42.05</v>
      </c>
      <c r="I704" s="38">
        <f t="shared" si="212"/>
        <v>-93.71</v>
      </c>
      <c r="J704" s="38">
        <v>307.8</v>
      </c>
      <c r="K704" s="38">
        <v>9.4</v>
      </c>
      <c r="L704" s="38">
        <v>9.1999999999999993</v>
      </c>
      <c r="M704" s="38">
        <v>891</v>
      </c>
      <c r="N704" s="38">
        <v>837</v>
      </c>
      <c r="P704" s="57" t="s">
        <v>181</v>
      </c>
      <c r="Q704" s="57"/>
      <c r="R704" s="57"/>
      <c r="S704" s="57" t="s">
        <v>1664</v>
      </c>
      <c r="T704" s="57" t="s">
        <v>1682</v>
      </c>
      <c r="U704" s="38">
        <v>1.25</v>
      </c>
      <c r="X704" s="38" t="s">
        <v>569</v>
      </c>
      <c r="AB704" s="38" t="s">
        <v>1567</v>
      </c>
      <c r="AC704" s="38" t="s">
        <v>572</v>
      </c>
      <c r="AD704" s="153" t="str">
        <f t="shared" si="208"/>
        <v>Gamagrass</v>
      </c>
      <c r="AE704" s="38" t="s">
        <v>205</v>
      </c>
      <c r="AG704" s="38" t="s">
        <v>570</v>
      </c>
      <c r="AH704" s="38" t="s">
        <v>570</v>
      </c>
      <c r="AI704" s="38" t="s">
        <v>230</v>
      </c>
      <c r="AJ704" s="38" t="s">
        <v>571</v>
      </c>
      <c r="AK704" s="38" t="s">
        <v>571</v>
      </c>
      <c r="AL704" s="38" t="s">
        <v>230</v>
      </c>
      <c r="AP704" s="38" t="s">
        <v>154</v>
      </c>
      <c r="AQ704" s="38">
        <v>4</v>
      </c>
      <c r="AR704" s="38">
        <v>4</v>
      </c>
      <c r="AS704" s="38" t="s">
        <v>177</v>
      </c>
      <c r="AU704" s="38">
        <f>1.46*1000</f>
        <v>1460</v>
      </c>
      <c r="AV704" s="38">
        <f>AU704/18.8</f>
        <v>77.659574468085097</v>
      </c>
      <c r="AW704" s="64"/>
      <c r="BB704" s="38">
        <f>2.7*1000</f>
        <v>2700</v>
      </c>
      <c r="BC704" s="38">
        <f>2.4*1000</f>
        <v>2400</v>
      </c>
      <c r="BK704" s="38">
        <f>52.9*0.067</f>
        <v>3.5443000000000002</v>
      </c>
      <c r="BL704" s="38">
        <f>54.6*0.067</f>
        <v>3.6582000000000003</v>
      </c>
      <c r="BM704" s="38" t="s">
        <v>574</v>
      </c>
      <c r="DA704" s="38">
        <v>24.7</v>
      </c>
      <c r="DB704" s="38">
        <v>24.8</v>
      </c>
      <c r="DC704" s="38" t="s">
        <v>575</v>
      </c>
      <c r="DS704" s="12"/>
      <c r="DU704" s="15"/>
      <c r="FC704" s="38">
        <v>32</v>
      </c>
    </row>
    <row r="705" spans="1:159" s="38" customFormat="1" x14ac:dyDescent="0.25">
      <c r="A705" s="38">
        <v>32</v>
      </c>
      <c r="B705" s="38" t="s">
        <v>566</v>
      </c>
      <c r="C705" s="38" t="s">
        <v>567</v>
      </c>
      <c r="D705" s="38">
        <v>2007</v>
      </c>
      <c r="E705" s="38">
        <v>2003</v>
      </c>
      <c r="F705" s="38" t="s">
        <v>524</v>
      </c>
      <c r="G705" s="38" t="s">
        <v>568</v>
      </c>
      <c r="H705" s="38">
        <f t="shared" si="211"/>
        <v>42.05</v>
      </c>
      <c r="I705" s="38">
        <f t="shared" si="212"/>
        <v>-93.71</v>
      </c>
      <c r="J705" s="38">
        <v>307.8</v>
      </c>
      <c r="K705" s="38">
        <v>9.4</v>
      </c>
      <c r="L705" s="38">
        <v>9.1999999999999993</v>
      </c>
      <c r="M705" s="38">
        <v>891</v>
      </c>
      <c r="N705" s="38">
        <v>837</v>
      </c>
      <c r="P705" s="57" t="s">
        <v>181</v>
      </c>
      <c r="Q705" s="57"/>
      <c r="R705" s="57"/>
      <c r="S705" s="57" t="s">
        <v>1664</v>
      </c>
      <c r="T705" s="57" t="s">
        <v>1682</v>
      </c>
      <c r="U705" s="38">
        <v>1.25</v>
      </c>
      <c r="X705" s="38" t="s">
        <v>569</v>
      </c>
      <c r="AB705" s="38" t="s">
        <v>1567</v>
      </c>
      <c r="AC705" s="38" t="s">
        <v>166</v>
      </c>
      <c r="AD705" s="153" t="str">
        <f t="shared" si="208"/>
        <v>Rye</v>
      </c>
      <c r="AE705" s="38" t="s">
        <v>167</v>
      </c>
      <c r="AG705" s="38" t="s">
        <v>570</v>
      </c>
      <c r="AH705" s="38" t="s">
        <v>570</v>
      </c>
      <c r="AI705" s="38" t="s">
        <v>230</v>
      </c>
      <c r="AJ705" s="38" t="s">
        <v>571</v>
      </c>
      <c r="AK705" s="38" t="s">
        <v>571</v>
      </c>
      <c r="AL705" s="38" t="s">
        <v>230</v>
      </c>
      <c r="AP705" s="38" t="s">
        <v>154</v>
      </c>
      <c r="AQ705" s="38">
        <v>4</v>
      </c>
      <c r="AR705" s="38">
        <v>4</v>
      </c>
      <c r="AS705" s="38" t="s">
        <v>177</v>
      </c>
      <c r="AU705" s="38">
        <f>0.25*1000</f>
        <v>250</v>
      </c>
      <c r="AV705" s="38">
        <f>AU705/9.3</f>
        <v>26.881720430107524</v>
      </c>
      <c r="AW705" s="64"/>
      <c r="BB705" s="38">
        <f>2.7*1000</f>
        <v>2700</v>
      </c>
      <c r="BC705" s="38">
        <f>2.7*1000</f>
        <v>2700</v>
      </c>
      <c r="BK705" s="38">
        <f>52.9*0.067</f>
        <v>3.5443000000000002</v>
      </c>
      <c r="BL705" s="38">
        <f>44.2*0.067</f>
        <v>2.9614000000000003</v>
      </c>
      <c r="BM705" s="38" t="s">
        <v>574</v>
      </c>
      <c r="DA705" s="38">
        <v>24.7</v>
      </c>
      <c r="DB705" s="38">
        <v>11.8</v>
      </c>
      <c r="DC705" s="38" t="s">
        <v>575</v>
      </c>
      <c r="DS705" s="12"/>
      <c r="DU705" s="15"/>
      <c r="FC705" s="38">
        <v>32</v>
      </c>
    </row>
    <row r="706" spans="1:159" s="38" customFormat="1" x14ac:dyDescent="0.25">
      <c r="A706" s="38">
        <v>32</v>
      </c>
      <c r="B706" s="38" t="s">
        <v>566</v>
      </c>
      <c r="C706" s="38" t="s">
        <v>567</v>
      </c>
      <c r="D706" s="38">
        <v>2007</v>
      </c>
      <c r="E706" s="38">
        <v>2004</v>
      </c>
      <c r="F706" s="38" t="s">
        <v>524</v>
      </c>
      <c r="G706" s="38" t="s">
        <v>568</v>
      </c>
      <c r="H706" s="38">
        <f t="shared" si="211"/>
        <v>42.05</v>
      </c>
      <c r="I706" s="38">
        <f t="shared" si="212"/>
        <v>-93.71</v>
      </c>
      <c r="J706" s="38">
        <v>307.8</v>
      </c>
      <c r="K706" s="38">
        <v>9.9</v>
      </c>
      <c r="L706" s="38">
        <v>9.1999999999999993</v>
      </c>
      <c r="M706" s="38">
        <v>865</v>
      </c>
      <c r="N706" s="38">
        <v>837</v>
      </c>
      <c r="P706" s="57" t="s">
        <v>182</v>
      </c>
      <c r="Q706" s="57"/>
      <c r="R706" s="57"/>
      <c r="S706" s="57" t="s">
        <v>1664</v>
      </c>
      <c r="T706" s="57" t="s">
        <v>1682</v>
      </c>
      <c r="U706" s="38">
        <v>1.25</v>
      </c>
      <c r="X706" s="38" t="s">
        <v>569</v>
      </c>
      <c r="AB706" s="38" t="s">
        <v>1567</v>
      </c>
      <c r="AC706" s="38" t="s">
        <v>572</v>
      </c>
      <c r="AD706" s="153" t="str">
        <f t="shared" si="208"/>
        <v>Gamagrass</v>
      </c>
      <c r="AE706" s="38" t="s">
        <v>205</v>
      </c>
      <c r="AG706" s="38" t="s">
        <v>570</v>
      </c>
      <c r="AH706" s="38" t="s">
        <v>570</v>
      </c>
      <c r="AI706" s="38" t="s">
        <v>230</v>
      </c>
      <c r="AJ706" s="38" t="s">
        <v>571</v>
      </c>
      <c r="AK706" s="38" t="s">
        <v>571</v>
      </c>
      <c r="AL706" s="38" t="s">
        <v>230</v>
      </c>
      <c r="AP706" s="38" t="s">
        <v>154</v>
      </c>
      <c r="AQ706" s="38">
        <v>4</v>
      </c>
      <c r="AR706" s="38">
        <v>4</v>
      </c>
      <c r="AS706" s="38" t="s">
        <v>177</v>
      </c>
      <c r="AU706" s="38">
        <f>2.02*1000</f>
        <v>2020</v>
      </c>
      <c r="AV706" s="38">
        <f>AU706/25.5</f>
        <v>79.215686274509807</v>
      </c>
      <c r="AW706" s="64"/>
      <c r="BB706" s="38">
        <f>13.3*1000</f>
        <v>13300</v>
      </c>
      <c r="BC706" s="38">
        <f>13.1*1000</f>
        <v>13100</v>
      </c>
      <c r="BK706" s="38">
        <f>94.6*0.067</f>
        <v>6.3381999999999996</v>
      </c>
      <c r="BL706" s="38">
        <f>59.6*0.067</f>
        <v>3.9932000000000003</v>
      </c>
      <c r="BM706" s="38" t="s">
        <v>574</v>
      </c>
      <c r="DA706" s="38">
        <v>19.8</v>
      </c>
      <c r="DB706" s="38">
        <v>17.399999999999999</v>
      </c>
      <c r="DC706" s="38" t="s">
        <v>575</v>
      </c>
      <c r="DS706" s="12"/>
      <c r="DU706" s="15"/>
      <c r="FC706" s="38">
        <v>32</v>
      </c>
    </row>
    <row r="707" spans="1:159" s="38" customFormat="1" x14ac:dyDescent="0.25">
      <c r="A707" s="38">
        <v>32</v>
      </c>
      <c r="B707" s="38" t="s">
        <v>566</v>
      </c>
      <c r="C707" s="38" t="s">
        <v>567</v>
      </c>
      <c r="D707" s="38">
        <v>2007</v>
      </c>
      <c r="E707" s="38">
        <v>2004</v>
      </c>
      <c r="F707" s="38" t="s">
        <v>524</v>
      </c>
      <c r="G707" s="38" t="s">
        <v>568</v>
      </c>
      <c r="H707" s="38">
        <f t="shared" si="211"/>
        <v>42.05</v>
      </c>
      <c r="I707" s="38">
        <f t="shared" si="212"/>
        <v>-93.71</v>
      </c>
      <c r="J707" s="38">
        <v>307.8</v>
      </c>
      <c r="K707" s="38">
        <v>9.9</v>
      </c>
      <c r="L707" s="38">
        <v>9.1999999999999993</v>
      </c>
      <c r="M707" s="38">
        <v>865</v>
      </c>
      <c r="N707" s="38">
        <v>837</v>
      </c>
      <c r="P707" s="57" t="s">
        <v>182</v>
      </c>
      <c r="Q707" s="57"/>
      <c r="R707" s="57"/>
      <c r="S707" s="57" t="s">
        <v>1664</v>
      </c>
      <c r="T707" s="57" t="s">
        <v>1682</v>
      </c>
      <c r="U707" s="38">
        <v>1.25</v>
      </c>
      <c r="X707" s="38" t="s">
        <v>569</v>
      </c>
      <c r="AB707" s="38" t="s">
        <v>1567</v>
      </c>
      <c r="AC707" s="38" t="s">
        <v>166</v>
      </c>
      <c r="AD707" s="153" t="str">
        <f t="shared" ref="AD707:AD770" si="213">IF(OR(AC707="*Rye",AC707="Rye*",AC707="Downy_brome"),"Rye",IF(OR(AC707="*Oat",AC707="Oat*",AC707="Trudan_8",AC707="*Wheat",AC707="Wheat*",AC707="Barley*",AC707="Hemp",AC707="Hemp",AC707="Triticale*",AC707="Grass",AC707="Millet"),"Grass",IF(OR(AC707="*clover",AC707="clover*",AC707="Vetch*",AC707="Vetch*",AC707="Alfalfa",AC707="Soybean",AC707="*Lentil",AC707="Lentil*",AC707="*Pea",AC707="Pea*",AC707="Lupine"),"Legume",AC707)))</f>
        <v>Rye</v>
      </c>
      <c r="AE707" s="38" t="s">
        <v>167</v>
      </c>
      <c r="AG707" s="38" t="s">
        <v>570</v>
      </c>
      <c r="AH707" s="38" t="s">
        <v>570</v>
      </c>
      <c r="AI707" s="38" t="s">
        <v>230</v>
      </c>
      <c r="AJ707" s="38" t="s">
        <v>571</v>
      </c>
      <c r="AK707" s="38" t="s">
        <v>571</v>
      </c>
      <c r="AL707" s="38" t="s">
        <v>230</v>
      </c>
      <c r="AP707" s="38" t="s">
        <v>154</v>
      </c>
      <c r="AQ707" s="38">
        <v>4</v>
      </c>
      <c r="AR707" s="38">
        <v>4</v>
      </c>
      <c r="AS707" s="38" t="s">
        <v>177</v>
      </c>
      <c r="AU707" s="38">
        <f>1.48*1000</f>
        <v>1480</v>
      </c>
      <c r="AV707" s="38">
        <f>AU707/48.5</f>
        <v>30.515463917525775</v>
      </c>
      <c r="AW707" s="64"/>
      <c r="BB707" s="38">
        <f>13.3*1000</f>
        <v>13300</v>
      </c>
      <c r="BC707" s="38">
        <f>13.3*1000</f>
        <v>13300</v>
      </c>
      <c r="BK707" s="38">
        <f>94.6*0.067</f>
        <v>6.3381999999999996</v>
      </c>
      <c r="BL707" s="38">
        <f>70.4*0.067</f>
        <v>4.716800000000001</v>
      </c>
      <c r="BM707" s="38" t="s">
        <v>574</v>
      </c>
      <c r="DA707" s="38">
        <v>19.8</v>
      </c>
      <c r="DB707" s="38">
        <v>9.3000000000000007</v>
      </c>
      <c r="DC707" s="38" t="s">
        <v>575</v>
      </c>
      <c r="DS707" s="12"/>
      <c r="DU707" s="15"/>
      <c r="FC707" s="38">
        <v>32</v>
      </c>
    </row>
    <row r="708" spans="1:159" s="38" customFormat="1" x14ac:dyDescent="0.25">
      <c r="A708" s="38">
        <v>32</v>
      </c>
      <c r="B708" s="38" t="s">
        <v>566</v>
      </c>
      <c r="C708" s="38" t="s">
        <v>567</v>
      </c>
      <c r="D708" s="38">
        <v>2007</v>
      </c>
      <c r="E708" s="38">
        <v>2005</v>
      </c>
      <c r="F708" s="38" t="s">
        <v>524</v>
      </c>
      <c r="G708" s="38" t="s">
        <v>568</v>
      </c>
      <c r="H708" s="38">
        <f t="shared" si="211"/>
        <v>42.05</v>
      </c>
      <c r="I708" s="38">
        <f t="shared" si="212"/>
        <v>-93.71</v>
      </c>
      <c r="J708" s="38">
        <v>307.8</v>
      </c>
      <c r="K708" s="38">
        <v>10.6</v>
      </c>
      <c r="L708" s="38">
        <v>9.1999999999999993</v>
      </c>
      <c r="M708" s="38">
        <v>893</v>
      </c>
      <c r="N708" s="38">
        <v>837</v>
      </c>
      <c r="P708" s="57" t="s">
        <v>183</v>
      </c>
      <c r="Q708" s="57"/>
      <c r="R708" s="57"/>
      <c r="S708" s="57" t="s">
        <v>1664</v>
      </c>
      <c r="T708" s="57" t="s">
        <v>1682</v>
      </c>
      <c r="U708" s="38">
        <v>1.25</v>
      </c>
      <c r="X708" s="38" t="s">
        <v>569</v>
      </c>
      <c r="AB708" s="38" t="s">
        <v>1567</v>
      </c>
      <c r="AC708" s="38" t="s">
        <v>572</v>
      </c>
      <c r="AD708" s="153" t="str">
        <f t="shared" si="213"/>
        <v>Gamagrass</v>
      </c>
      <c r="AE708" s="38" t="s">
        <v>205</v>
      </c>
      <c r="AG708" s="38" t="s">
        <v>570</v>
      </c>
      <c r="AH708" s="38" t="s">
        <v>570</v>
      </c>
      <c r="AI708" s="38" t="s">
        <v>230</v>
      </c>
      <c r="AJ708" s="38" t="s">
        <v>571</v>
      </c>
      <c r="AK708" s="38" t="s">
        <v>571</v>
      </c>
      <c r="AL708" s="38" t="s">
        <v>230</v>
      </c>
      <c r="AP708" s="38" t="s">
        <v>154</v>
      </c>
      <c r="AQ708" s="38">
        <v>4</v>
      </c>
      <c r="AR708" s="38">
        <v>4</v>
      </c>
      <c r="AS708" s="38" t="s">
        <v>177</v>
      </c>
      <c r="AU708" s="38">
        <f>1.48*1000</f>
        <v>1480</v>
      </c>
      <c r="AV708" s="38">
        <f>AU708/16</f>
        <v>92.5</v>
      </c>
      <c r="AW708" s="64"/>
      <c r="BB708" s="38">
        <f>4.5*1000</f>
        <v>4500</v>
      </c>
      <c r="BC708" s="38">
        <f>4.2*1000</f>
        <v>4200</v>
      </c>
      <c r="BK708" s="38">
        <f>65.3*0.067</f>
        <v>4.3750999999999998</v>
      </c>
      <c r="BL708" s="38">
        <f>46.2*0.067</f>
        <v>3.0954000000000006</v>
      </c>
      <c r="BM708" s="38" t="s">
        <v>574</v>
      </c>
      <c r="DA708" s="38">
        <v>21.6</v>
      </c>
      <c r="DB708" s="38">
        <v>17.7</v>
      </c>
      <c r="DC708" s="38" t="s">
        <v>575</v>
      </c>
      <c r="DS708" s="12"/>
      <c r="DU708" s="15"/>
      <c r="FC708" s="38">
        <v>32</v>
      </c>
    </row>
    <row r="709" spans="1:159" s="38" customFormat="1" x14ac:dyDescent="0.25">
      <c r="A709" s="38">
        <v>32</v>
      </c>
      <c r="B709" s="38" t="s">
        <v>566</v>
      </c>
      <c r="C709" s="38" t="s">
        <v>567</v>
      </c>
      <c r="D709" s="38">
        <v>2007</v>
      </c>
      <c r="E709" s="38">
        <v>2005</v>
      </c>
      <c r="F709" s="38" t="s">
        <v>524</v>
      </c>
      <c r="G709" s="38" t="s">
        <v>568</v>
      </c>
      <c r="H709" s="38">
        <f t="shared" si="211"/>
        <v>42.05</v>
      </c>
      <c r="I709" s="38">
        <f t="shared" si="212"/>
        <v>-93.71</v>
      </c>
      <c r="J709" s="38">
        <v>307.8</v>
      </c>
      <c r="K709" s="38">
        <v>10.6</v>
      </c>
      <c r="L709" s="38">
        <v>9.1999999999999993</v>
      </c>
      <c r="M709" s="38">
        <v>893</v>
      </c>
      <c r="N709" s="38">
        <v>837</v>
      </c>
      <c r="P709" s="57" t="s">
        <v>183</v>
      </c>
      <c r="Q709" s="57"/>
      <c r="R709" s="57"/>
      <c r="S709" s="57" t="s">
        <v>1664</v>
      </c>
      <c r="T709" s="57" t="s">
        <v>1682</v>
      </c>
      <c r="U709" s="38">
        <v>1.25</v>
      </c>
      <c r="X709" s="38" t="s">
        <v>569</v>
      </c>
      <c r="AB709" s="38" t="s">
        <v>1567</v>
      </c>
      <c r="AC709" s="38" t="s">
        <v>166</v>
      </c>
      <c r="AD709" s="153" t="str">
        <f t="shared" si="213"/>
        <v>Rye</v>
      </c>
      <c r="AE709" s="38" t="s">
        <v>167</v>
      </c>
      <c r="AG709" s="38" t="s">
        <v>570</v>
      </c>
      <c r="AH709" s="38" t="s">
        <v>570</v>
      </c>
      <c r="AI709" s="38" t="s">
        <v>230</v>
      </c>
      <c r="AJ709" s="38" t="s">
        <v>571</v>
      </c>
      <c r="AK709" s="38" t="s">
        <v>571</v>
      </c>
      <c r="AL709" s="38" t="s">
        <v>230</v>
      </c>
      <c r="AP709" s="38" t="s">
        <v>154</v>
      </c>
      <c r="AQ709" s="38">
        <v>4</v>
      </c>
      <c r="AR709" s="38">
        <v>4</v>
      </c>
      <c r="AS709" s="38" t="s">
        <v>177</v>
      </c>
      <c r="AU709" s="38">
        <f>2.74*1000</f>
        <v>2740</v>
      </c>
      <c r="AV709" s="38">
        <f>AU709/76.5</f>
        <v>35.816993464052288</v>
      </c>
      <c r="AW709" s="64"/>
      <c r="BB709" s="38">
        <f>4.5*1000</f>
        <v>4500</v>
      </c>
      <c r="BC709" s="38">
        <f>4.2*1000</f>
        <v>4200</v>
      </c>
      <c r="BK709" s="38">
        <f>65.3*0.067</f>
        <v>4.3750999999999998</v>
      </c>
      <c r="BL709" s="38">
        <f>82.9*0.067</f>
        <v>5.5543000000000005</v>
      </c>
      <c r="BM709" s="38" t="s">
        <v>574</v>
      </c>
      <c r="DA709" s="38">
        <v>21.6</v>
      </c>
      <c r="DB709" s="38">
        <v>8</v>
      </c>
      <c r="DC709" s="38" t="s">
        <v>575</v>
      </c>
      <c r="DS709" s="12"/>
      <c r="DU709" s="15"/>
      <c r="FC709" s="38">
        <v>32</v>
      </c>
    </row>
    <row r="710" spans="1:159" s="39" customFormat="1" x14ac:dyDescent="0.25">
      <c r="A710" s="39">
        <v>33</v>
      </c>
      <c r="B710" s="39" t="s">
        <v>576</v>
      </c>
      <c r="C710" s="39" t="s">
        <v>577</v>
      </c>
      <c r="D710" s="39">
        <v>2016</v>
      </c>
      <c r="E710" s="39">
        <v>2011</v>
      </c>
      <c r="F710" s="39" t="s">
        <v>578</v>
      </c>
      <c r="G710" s="39" t="s">
        <v>381</v>
      </c>
      <c r="H710" s="39">
        <v>40.72</v>
      </c>
      <c r="I710" s="39">
        <v>-77.92</v>
      </c>
      <c r="J710" s="39">
        <v>350</v>
      </c>
      <c r="P710" s="58" t="s">
        <v>179</v>
      </c>
      <c r="Q710" s="58"/>
      <c r="R710" s="58" t="s">
        <v>580</v>
      </c>
      <c r="S710" s="58" t="s">
        <v>1640</v>
      </c>
      <c r="T710" s="58" t="s">
        <v>1640</v>
      </c>
      <c r="X710" s="39" t="s">
        <v>168</v>
      </c>
      <c r="AB710" s="39" t="s">
        <v>1568</v>
      </c>
      <c r="AC710" s="39" t="s">
        <v>166</v>
      </c>
      <c r="AD710" s="153" t="str">
        <f t="shared" si="213"/>
        <v>Rye</v>
      </c>
      <c r="AE710" s="39" t="s">
        <v>205</v>
      </c>
      <c r="AJ710" s="39" t="s">
        <v>579</v>
      </c>
      <c r="AK710" s="39" t="s">
        <v>579</v>
      </c>
      <c r="AL710" s="39" t="s">
        <v>230</v>
      </c>
      <c r="AP710" s="39" t="s">
        <v>208</v>
      </c>
      <c r="AQ710" s="39">
        <v>4</v>
      </c>
      <c r="AR710" s="39">
        <v>4</v>
      </c>
      <c r="AS710" s="39" t="s">
        <v>404</v>
      </c>
      <c r="AW710" s="63"/>
      <c r="BB710" s="39">
        <f>2.4*1000</f>
        <v>2400</v>
      </c>
      <c r="BC710" s="39">
        <f>2.8*1000</f>
        <v>2800</v>
      </c>
      <c r="DM710" s="39">
        <v>1800</v>
      </c>
      <c r="DN710" s="39">
        <v>1770</v>
      </c>
      <c r="DS710" s="12"/>
      <c r="DU710" s="15"/>
      <c r="FC710" s="39">
        <v>33</v>
      </c>
    </row>
    <row r="711" spans="1:159" s="39" customFormat="1" x14ac:dyDescent="0.25">
      <c r="A711" s="39">
        <v>33</v>
      </c>
      <c r="B711" s="39" t="s">
        <v>576</v>
      </c>
      <c r="C711" s="39" t="s">
        <v>577</v>
      </c>
      <c r="D711" s="39">
        <v>2016</v>
      </c>
      <c r="E711" s="39">
        <v>2011</v>
      </c>
      <c r="F711" s="39" t="s">
        <v>578</v>
      </c>
      <c r="G711" s="39" t="s">
        <v>381</v>
      </c>
      <c r="H711" s="39">
        <v>40.72</v>
      </c>
      <c r="I711" s="39">
        <v>-77.92</v>
      </c>
      <c r="J711" s="39">
        <v>350</v>
      </c>
      <c r="P711" s="58" t="s">
        <v>179</v>
      </c>
      <c r="Q711" s="58"/>
      <c r="R711" s="58" t="s">
        <v>581</v>
      </c>
      <c r="S711" s="58" t="s">
        <v>1640</v>
      </c>
      <c r="T711" s="58" t="s">
        <v>1640</v>
      </c>
      <c r="X711" s="39" t="s">
        <v>168</v>
      </c>
      <c r="AB711" s="39" t="s">
        <v>1568</v>
      </c>
      <c r="AC711" s="39" t="s">
        <v>166</v>
      </c>
      <c r="AD711" s="153" t="str">
        <f t="shared" si="213"/>
        <v>Rye</v>
      </c>
      <c r="AE711" s="39" t="s">
        <v>205</v>
      </c>
      <c r="AJ711" s="39" t="s">
        <v>579</v>
      </c>
      <c r="AK711" s="39" t="s">
        <v>579</v>
      </c>
      <c r="AL711" s="39" t="s">
        <v>230</v>
      </c>
      <c r="AP711" s="39" t="s">
        <v>208</v>
      </c>
      <c r="AQ711" s="39">
        <v>4</v>
      </c>
      <c r="AR711" s="39">
        <v>4</v>
      </c>
      <c r="AS711" s="39" t="s">
        <v>404</v>
      </c>
      <c r="AW711" s="63"/>
      <c r="BB711" s="39">
        <f>2.8*1000</f>
        <v>2800</v>
      </c>
      <c r="BC711" s="39">
        <f>3.2*1000</f>
        <v>3200</v>
      </c>
      <c r="DM711" s="39">
        <v>340</v>
      </c>
      <c r="DN711" s="39">
        <v>260</v>
      </c>
      <c r="DS711" s="12"/>
      <c r="DU711" s="15"/>
      <c r="FC711" s="39">
        <v>33</v>
      </c>
    </row>
    <row r="712" spans="1:159" s="39" customFormat="1" x14ac:dyDescent="0.25">
      <c r="A712" s="39">
        <v>33</v>
      </c>
      <c r="B712" s="39" t="s">
        <v>576</v>
      </c>
      <c r="C712" s="39" t="s">
        <v>577</v>
      </c>
      <c r="D712" s="39">
        <v>2016</v>
      </c>
      <c r="E712" s="39">
        <v>2011</v>
      </c>
      <c r="F712" s="39" t="s">
        <v>578</v>
      </c>
      <c r="G712" s="39" t="s">
        <v>381</v>
      </c>
      <c r="H712" s="39">
        <v>40.72</v>
      </c>
      <c r="I712" s="39">
        <v>-77.92</v>
      </c>
      <c r="J712" s="39">
        <v>350</v>
      </c>
      <c r="P712" s="58" t="s">
        <v>179</v>
      </c>
      <c r="Q712" s="58"/>
      <c r="R712" s="58" t="s">
        <v>582</v>
      </c>
      <c r="S712" s="58" t="s">
        <v>1640</v>
      </c>
      <c r="T712" s="58" t="s">
        <v>1640</v>
      </c>
      <c r="X712" s="39" t="s">
        <v>168</v>
      </c>
      <c r="AB712" s="39" t="s">
        <v>1568</v>
      </c>
      <c r="AC712" s="39" t="s">
        <v>166</v>
      </c>
      <c r="AD712" s="153" t="str">
        <f t="shared" si="213"/>
        <v>Rye</v>
      </c>
      <c r="AE712" s="39" t="s">
        <v>205</v>
      </c>
      <c r="AJ712" s="39" t="s">
        <v>579</v>
      </c>
      <c r="AK712" s="39" t="s">
        <v>579</v>
      </c>
      <c r="AL712" s="39" t="s">
        <v>230</v>
      </c>
      <c r="AP712" s="39" t="s">
        <v>208</v>
      </c>
      <c r="AQ712" s="39">
        <v>4</v>
      </c>
      <c r="AR712" s="39">
        <v>4</v>
      </c>
      <c r="AS712" s="39" t="s">
        <v>404</v>
      </c>
      <c r="AW712" s="63"/>
      <c r="BB712" s="39">
        <f>2.3*1000</f>
        <v>2300</v>
      </c>
      <c r="BC712" s="39">
        <f>2.8*1000</f>
        <v>2800</v>
      </c>
      <c r="DM712" s="39">
        <v>600</v>
      </c>
      <c r="DN712" s="39">
        <v>670</v>
      </c>
      <c r="DS712" s="12"/>
      <c r="DU712" s="15"/>
      <c r="FC712" s="39">
        <v>33</v>
      </c>
    </row>
    <row r="713" spans="1:159" s="39" customFormat="1" x14ac:dyDescent="0.25">
      <c r="A713" s="39">
        <v>33</v>
      </c>
      <c r="B713" s="39" t="s">
        <v>576</v>
      </c>
      <c r="C713" s="39" t="s">
        <v>577</v>
      </c>
      <c r="D713" s="39">
        <v>2016</v>
      </c>
      <c r="E713" s="39">
        <v>2011</v>
      </c>
      <c r="F713" s="39" t="s">
        <v>578</v>
      </c>
      <c r="G713" s="39" t="s">
        <v>381</v>
      </c>
      <c r="H713" s="39">
        <v>40.72</v>
      </c>
      <c r="I713" s="39">
        <v>-77.92</v>
      </c>
      <c r="J713" s="39">
        <v>350</v>
      </c>
      <c r="P713" s="58" t="s">
        <v>179</v>
      </c>
      <c r="Q713" s="58"/>
      <c r="R713" s="58" t="s">
        <v>583</v>
      </c>
      <c r="S713" s="58" t="s">
        <v>1640</v>
      </c>
      <c r="T713" s="58" t="s">
        <v>1640</v>
      </c>
      <c r="X713" s="39" t="s">
        <v>168</v>
      </c>
      <c r="AB713" s="39" t="s">
        <v>1568</v>
      </c>
      <c r="AC713" s="39" t="s">
        <v>166</v>
      </c>
      <c r="AD713" s="153" t="str">
        <f t="shared" si="213"/>
        <v>Rye</v>
      </c>
      <c r="AE713" s="39" t="s">
        <v>205</v>
      </c>
      <c r="AJ713" s="39" t="s">
        <v>579</v>
      </c>
      <c r="AK713" s="39" t="s">
        <v>579</v>
      </c>
      <c r="AL713" s="39" t="s">
        <v>230</v>
      </c>
      <c r="AP713" s="39" t="s">
        <v>208</v>
      </c>
      <c r="AQ713" s="39">
        <v>4</v>
      </c>
      <c r="AR713" s="39">
        <v>4</v>
      </c>
      <c r="AS713" s="39" t="s">
        <v>404</v>
      </c>
      <c r="AW713" s="63"/>
      <c r="BB713" s="39">
        <f>3*1000</f>
        <v>3000</v>
      </c>
      <c r="BC713" s="39">
        <f>3.8*1000</f>
        <v>3800</v>
      </c>
      <c r="DM713" s="39">
        <v>160</v>
      </c>
      <c r="DN713" s="39">
        <v>110</v>
      </c>
      <c r="DS713" s="12"/>
      <c r="DU713" s="15"/>
      <c r="FC713" s="39">
        <v>33</v>
      </c>
    </row>
    <row r="714" spans="1:159" s="39" customFormat="1" x14ac:dyDescent="0.25">
      <c r="A714" s="39">
        <v>33</v>
      </c>
      <c r="B714" s="39" t="s">
        <v>576</v>
      </c>
      <c r="C714" s="39" t="s">
        <v>577</v>
      </c>
      <c r="D714" s="39">
        <v>2016</v>
      </c>
      <c r="E714" s="39">
        <v>2012</v>
      </c>
      <c r="F714" s="39" t="s">
        <v>578</v>
      </c>
      <c r="G714" s="39" t="s">
        <v>381</v>
      </c>
      <c r="H714" s="39">
        <v>40.72</v>
      </c>
      <c r="I714" s="39">
        <v>-77.92</v>
      </c>
      <c r="J714" s="39">
        <v>350</v>
      </c>
      <c r="P714" s="58" t="s">
        <v>180</v>
      </c>
      <c r="Q714" s="58"/>
      <c r="R714" s="58" t="s">
        <v>580</v>
      </c>
      <c r="S714" s="58" t="s">
        <v>1640</v>
      </c>
      <c r="T714" s="58" t="s">
        <v>1640</v>
      </c>
      <c r="X714" s="39" t="s">
        <v>168</v>
      </c>
      <c r="AB714" s="39" t="s">
        <v>1568</v>
      </c>
      <c r="AC714" s="39" t="s">
        <v>166</v>
      </c>
      <c r="AD714" s="153" t="str">
        <f t="shared" si="213"/>
        <v>Rye</v>
      </c>
      <c r="AE714" s="39" t="s">
        <v>205</v>
      </c>
      <c r="AJ714" s="39" t="s">
        <v>579</v>
      </c>
      <c r="AK714" s="39" t="s">
        <v>579</v>
      </c>
      <c r="AL714" s="39" t="s">
        <v>230</v>
      </c>
      <c r="AP714" s="39" t="s">
        <v>208</v>
      </c>
      <c r="AQ714" s="39">
        <v>4</v>
      </c>
      <c r="AR714" s="39">
        <v>4</v>
      </c>
      <c r="AS714" s="39" t="s">
        <v>404</v>
      </c>
      <c r="AW714" s="63"/>
      <c r="BB714" s="39">
        <f>3.6*1000</f>
        <v>3600</v>
      </c>
      <c r="BC714" s="39">
        <f>3.5*1000</f>
        <v>3500</v>
      </c>
      <c r="DM714" s="39">
        <v>30</v>
      </c>
      <c r="DN714" s="39">
        <v>910</v>
      </c>
      <c r="DS714" s="12"/>
      <c r="DU714" s="15"/>
      <c r="FC714" s="39">
        <v>33</v>
      </c>
    </row>
    <row r="715" spans="1:159" s="39" customFormat="1" x14ac:dyDescent="0.25">
      <c r="A715" s="39">
        <v>33</v>
      </c>
      <c r="B715" s="39" t="s">
        <v>576</v>
      </c>
      <c r="C715" s="39" t="s">
        <v>577</v>
      </c>
      <c r="D715" s="39">
        <v>2016</v>
      </c>
      <c r="E715" s="39">
        <v>2012</v>
      </c>
      <c r="F715" s="39" t="s">
        <v>578</v>
      </c>
      <c r="G715" s="39" t="s">
        <v>381</v>
      </c>
      <c r="H715" s="39">
        <v>40.72</v>
      </c>
      <c r="I715" s="39">
        <v>-77.92</v>
      </c>
      <c r="J715" s="39">
        <v>350</v>
      </c>
      <c r="P715" s="58" t="s">
        <v>180</v>
      </c>
      <c r="Q715" s="58"/>
      <c r="R715" s="58" t="s">
        <v>581</v>
      </c>
      <c r="S715" s="58" t="s">
        <v>1640</v>
      </c>
      <c r="T715" s="58" t="s">
        <v>1640</v>
      </c>
      <c r="X715" s="39" t="s">
        <v>168</v>
      </c>
      <c r="AB715" s="39" t="s">
        <v>1568</v>
      </c>
      <c r="AC715" s="39" t="s">
        <v>166</v>
      </c>
      <c r="AD715" s="153" t="str">
        <f t="shared" si="213"/>
        <v>Rye</v>
      </c>
      <c r="AE715" s="39" t="s">
        <v>205</v>
      </c>
      <c r="AJ715" s="39" t="s">
        <v>579</v>
      </c>
      <c r="AK715" s="39" t="s">
        <v>579</v>
      </c>
      <c r="AL715" s="39" t="s">
        <v>230</v>
      </c>
      <c r="AP715" s="39" t="s">
        <v>208</v>
      </c>
      <c r="AQ715" s="39">
        <v>4</v>
      </c>
      <c r="AR715" s="39">
        <v>4</v>
      </c>
      <c r="AS715" s="39" t="s">
        <v>404</v>
      </c>
      <c r="AW715" s="63"/>
      <c r="BB715" s="39">
        <f>3.5*1000</f>
        <v>3500</v>
      </c>
      <c r="BC715" s="39">
        <f>3.7*1000</f>
        <v>3700</v>
      </c>
      <c r="DM715" s="39">
        <v>90</v>
      </c>
      <c r="DN715" s="39">
        <v>510</v>
      </c>
      <c r="DS715" s="12"/>
      <c r="DU715" s="15"/>
      <c r="FC715" s="39">
        <v>33</v>
      </c>
    </row>
    <row r="716" spans="1:159" s="39" customFormat="1" x14ac:dyDescent="0.25">
      <c r="A716" s="39">
        <v>33</v>
      </c>
      <c r="B716" s="39" t="s">
        <v>576</v>
      </c>
      <c r="C716" s="39" t="s">
        <v>577</v>
      </c>
      <c r="D716" s="39">
        <v>2016</v>
      </c>
      <c r="E716" s="39">
        <v>2012</v>
      </c>
      <c r="F716" s="39" t="s">
        <v>578</v>
      </c>
      <c r="G716" s="39" t="s">
        <v>381</v>
      </c>
      <c r="H716" s="39">
        <v>40.72</v>
      </c>
      <c r="I716" s="39">
        <v>-77.92</v>
      </c>
      <c r="J716" s="39">
        <v>350</v>
      </c>
      <c r="P716" s="58" t="s">
        <v>180</v>
      </c>
      <c r="Q716" s="58"/>
      <c r="R716" s="58" t="s">
        <v>582</v>
      </c>
      <c r="S716" s="58" t="s">
        <v>1640</v>
      </c>
      <c r="T716" s="58" t="s">
        <v>1640</v>
      </c>
      <c r="X716" s="39" t="s">
        <v>168</v>
      </c>
      <c r="AB716" s="39" t="s">
        <v>1568</v>
      </c>
      <c r="AC716" s="39" t="s">
        <v>166</v>
      </c>
      <c r="AD716" s="153" t="str">
        <f t="shared" si="213"/>
        <v>Rye</v>
      </c>
      <c r="AE716" s="39" t="s">
        <v>205</v>
      </c>
      <c r="AJ716" s="39" t="s">
        <v>579</v>
      </c>
      <c r="AK716" s="39" t="s">
        <v>579</v>
      </c>
      <c r="AL716" s="39" t="s">
        <v>230</v>
      </c>
      <c r="AP716" s="39" t="s">
        <v>208</v>
      </c>
      <c r="AQ716" s="39">
        <v>4</v>
      </c>
      <c r="AR716" s="39">
        <v>4</v>
      </c>
      <c r="AS716" s="39" t="s">
        <v>404</v>
      </c>
      <c r="AW716" s="63"/>
      <c r="BB716" s="39">
        <f>3*1000</f>
        <v>3000</v>
      </c>
      <c r="BC716" s="39">
        <f>3.5*1000</f>
        <v>3500</v>
      </c>
      <c r="DM716" s="39">
        <v>490</v>
      </c>
      <c r="DN716" s="39">
        <v>470</v>
      </c>
      <c r="DS716" s="12"/>
      <c r="DU716" s="15"/>
      <c r="FC716" s="39">
        <v>33</v>
      </c>
    </row>
    <row r="717" spans="1:159" s="39" customFormat="1" x14ac:dyDescent="0.25">
      <c r="A717" s="39">
        <v>33</v>
      </c>
      <c r="B717" s="39" t="s">
        <v>576</v>
      </c>
      <c r="C717" s="39" t="s">
        <v>577</v>
      </c>
      <c r="D717" s="39">
        <v>2016</v>
      </c>
      <c r="E717" s="39">
        <v>2012</v>
      </c>
      <c r="F717" s="39" t="s">
        <v>578</v>
      </c>
      <c r="G717" s="39" t="s">
        <v>381</v>
      </c>
      <c r="H717" s="39">
        <v>40.72</v>
      </c>
      <c r="I717" s="39">
        <v>-77.92</v>
      </c>
      <c r="J717" s="39">
        <v>350</v>
      </c>
      <c r="P717" s="58" t="s">
        <v>180</v>
      </c>
      <c r="Q717" s="58"/>
      <c r="R717" s="58" t="s">
        <v>583</v>
      </c>
      <c r="S717" s="58" t="s">
        <v>1640</v>
      </c>
      <c r="T717" s="58" t="s">
        <v>1640</v>
      </c>
      <c r="X717" s="39" t="s">
        <v>168</v>
      </c>
      <c r="AB717" s="39" t="s">
        <v>1568</v>
      </c>
      <c r="AC717" s="39" t="s">
        <v>166</v>
      </c>
      <c r="AD717" s="153" t="str">
        <f t="shared" si="213"/>
        <v>Rye</v>
      </c>
      <c r="AE717" s="39" t="s">
        <v>205</v>
      </c>
      <c r="AJ717" s="39" t="s">
        <v>579</v>
      </c>
      <c r="AK717" s="39" t="s">
        <v>579</v>
      </c>
      <c r="AL717" s="39" t="s">
        <v>230</v>
      </c>
      <c r="AP717" s="39" t="s">
        <v>208</v>
      </c>
      <c r="AQ717" s="39">
        <v>4</v>
      </c>
      <c r="AR717" s="39">
        <v>4</v>
      </c>
      <c r="AS717" s="39" t="s">
        <v>404</v>
      </c>
      <c r="AW717" s="63"/>
      <c r="BB717" s="39">
        <f>3.6*1000</f>
        <v>3600</v>
      </c>
      <c r="BC717" s="39">
        <f>3.8*1000</f>
        <v>3800</v>
      </c>
      <c r="DM717" s="39">
        <v>80</v>
      </c>
      <c r="DN717" s="39">
        <v>130</v>
      </c>
      <c r="DS717" s="12"/>
      <c r="DU717" s="15"/>
      <c r="FC717" s="39">
        <v>33</v>
      </c>
    </row>
    <row r="718" spans="1:159" s="39" customFormat="1" x14ac:dyDescent="0.25">
      <c r="A718" s="39">
        <v>33</v>
      </c>
      <c r="B718" s="39" t="s">
        <v>576</v>
      </c>
      <c r="C718" s="39" t="s">
        <v>577</v>
      </c>
      <c r="D718" s="39">
        <v>2016</v>
      </c>
      <c r="E718" s="39">
        <v>2013</v>
      </c>
      <c r="F718" s="39" t="s">
        <v>578</v>
      </c>
      <c r="G718" s="39" t="s">
        <v>381</v>
      </c>
      <c r="H718" s="39">
        <v>40.72</v>
      </c>
      <c r="I718" s="39">
        <v>-77.92</v>
      </c>
      <c r="J718" s="39">
        <v>350</v>
      </c>
      <c r="P718" s="58" t="s">
        <v>181</v>
      </c>
      <c r="Q718" s="58"/>
      <c r="R718" s="58" t="s">
        <v>580</v>
      </c>
      <c r="S718" s="58" t="s">
        <v>1640</v>
      </c>
      <c r="T718" s="58" t="s">
        <v>1640</v>
      </c>
      <c r="X718" s="39" t="s">
        <v>168</v>
      </c>
      <c r="AB718" s="39" t="s">
        <v>1568</v>
      </c>
      <c r="AC718" s="39" t="s">
        <v>166</v>
      </c>
      <c r="AD718" s="153" t="str">
        <f t="shared" si="213"/>
        <v>Rye</v>
      </c>
      <c r="AE718" s="39" t="s">
        <v>205</v>
      </c>
      <c r="AJ718" s="39" t="s">
        <v>579</v>
      </c>
      <c r="AK718" s="39" t="s">
        <v>579</v>
      </c>
      <c r="AL718" s="39" t="s">
        <v>230</v>
      </c>
      <c r="AP718" s="39" t="s">
        <v>208</v>
      </c>
      <c r="AQ718" s="39">
        <v>4</v>
      </c>
      <c r="AR718" s="39">
        <v>4</v>
      </c>
      <c r="AS718" s="39" t="s">
        <v>404</v>
      </c>
      <c r="AW718" s="63"/>
      <c r="BB718" s="39">
        <f>3.6*1000</f>
        <v>3600</v>
      </c>
      <c r="BC718" s="39">
        <f>3.7*1000</f>
        <v>3700</v>
      </c>
      <c r="DM718" s="39">
        <v>1050</v>
      </c>
      <c r="DN718" s="39">
        <v>550</v>
      </c>
      <c r="DS718" s="12"/>
      <c r="DU718" s="15"/>
      <c r="FC718" s="39">
        <v>33</v>
      </c>
    </row>
    <row r="719" spans="1:159" s="39" customFormat="1" x14ac:dyDescent="0.25">
      <c r="A719" s="39">
        <v>33</v>
      </c>
      <c r="B719" s="39" t="s">
        <v>576</v>
      </c>
      <c r="C719" s="39" t="s">
        <v>577</v>
      </c>
      <c r="D719" s="39">
        <v>2016</v>
      </c>
      <c r="E719" s="39">
        <v>2013</v>
      </c>
      <c r="F719" s="39" t="s">
        <v>578</v>
      </c>
      <c r="G719" s="39" t="s">
        <v>381</v>
      </c>
      <c r="H719" s="39">
        <v>40.72</v>
      </c>
      <c r="I719" s="39">
        <v>-77.92</v>
      </c>
      <c r="J719" s="39">
        <v>350</v>
      </c>
      <c r="P719" s="58" t="s">
        <v>181</v>
      </c>
      <c r="Q719" s="58"/>
      <c r="R719" s="58" t="s">
        <v>581</v>
      </c>
      <c r="S719" s="58" t="s">
        <v>1640</v>
      </c>
      <c r="T719" s="58" t="s">
        <v>1640</v>
      </c>
      <c r="X719" s="39" t="s">
        <v>168</v>
      </c>
      <c r="AB719" s="39" t="s">
        <v>1568</v>
      </c>
      <c r="AC719" s="39" t="s">
        <v>166</v>
      </c>
      <c r="AD719" s="153" t="str">
        <f t="shared" si="213"/>
        <v>Rye</v>
      </c>
      <c r="AE719" s="39" t="s">
        <v>205</v>
      </c>
      <c r="AJ719" s="39" t="s">
        <v>579</v>
      </c>
      <c r="AK719" s="39" t="s">
        <v>579</v>
      </c>
      <c r="AL719" s="39" t="s">
        <v>230</v>
      </c>
      <c r="AP719" s="39" t="s">
        <v>208</v>
      </c>
      <c r="AQ719" s="39">
        <v>4</v>
      </c>
      <c r="AR719" s="39">
        <v>4</v>
      </c>
      <c r="AS719" s="39" t="s">
        <v>404</v>
      </c>
      <c r="AW719" s="63"/>
      <c r="BB719" s="39">
        <f>3.4*1000</f>
        <v>3400</v>
      </c>
      <c r="BC719" s="39">
        <f>2.9*1000</f>
        <v>2900</v>
      </c>
      <c r="DM719" s="39">
        <v>1460</v>
      </c>
      <c r="DN719" s="39">
        <v>660</v>
      </c>
      <c r="DS719" s="12"/>
      <c r="DU719" s="15"/>
      <c r="FC719" s="39">
        <v>33</v>
      </c>
    </row>
    <row r="720" spans="1:159" s="39" customFormat="1" x14ac:dyDescent="0.25">
      <c r="A720" s="39">
        <v>33</v>
      </c>
      <c r="B720" s="39" t="s">
        <v>576</v>
      </c>
      <c r="C720" s="39" t="s">
        <v>577</v>
      </c>
      <c r="D720" s="39">
        <v>2016</v>
      </c>
      <c r="E720" s="39">
        <v>2013</v>
      </c>
      <c r="F720" s="39" t="s">
        <v>578</v>
      </c>
      <c r="G720" s="39" t="s">
        <v>381</v>
      </c>
      <c r="H720" s="39">
        <v>40.72</v>
      </c>
      <c r="I720" s="39">
        <v>-77.92</v>
      </c>
      <c r="J720" s="39">
        <v>350</v>
      </c>
      <c r="P720" s="58" t="s">
        <v>181</v>
      </c>
      <c r="Q720" s="58"/>
      <c r="R720" s="58" t="s">
        <v>582</v>
      </c>
      <c r="S720" s="58" t="s">
        <v>1640</v>
      </c>
      <c r="T720" s="58" t="s">
        <v>1640</v>
      </c>
      <c r="X720" s="39" t="s">
        <v>168</v>
      </c>
      <c r="AB720" s="39" t="s">
        <v>1568</v>
      </c>
      <c r="AC720" s="39" t="s">
        <v>166</v>
      </c>
      <c r="AD720" s="153" t="str">
        <f t="shared" si="213"/>
        <v>Rye</v>
      </c>
      <c r="AE720" s="39" t="s">
        <v>205</v>
      </c>
      <c r="AJ720" s="39" t="s">
        <v>579</v>
      </c>
      <c r="AK720" s="39" t="s">
        <v>579</v>
      </c>
      <c r="AL720" s="39" t="s">
        <v>230</v>
      </c>
      <c r="AP720" s="39" t="s">
        <v>208</v>
      </c>
      <c r="AQ720" s="39">
        <v>4</v>
      </c>
      <c r="AR720" s="39">
        <v>4</v>
      </c>
      <c r="AS720" s="39" t="s">
        <v>404</v>
      </c>
      <c r="AW720" s="63"/>
      <c r="BB720" s="39">
        <f>3.4*1000</f>
        <v>3400</v>
      </c>
      <c r="BC720" s="39">
        <f>2.9*1000</f>
        <v>2900</v>
      </c>
      <c r="DM720" s="39">
        <v>1130</v>
      </c>
      <c r="DN720" s="39">
        <v>540</v>
      </c>
      <c r="DS720" s="12"/>
      <c r="DU720" s="15"/>
      <c r="FC720" s="39">
        <v>33</v>
      </c>
    </row>
    <row r="721" spans="1:159" s="39" customFormat="1" x14ac:dyDescent="0.25">
      <c r="A721" s="39">
        <v>33</v>
      </c>
      <c r="B721" s="39" t="s">
        <v>576</v>
      </c>
      <c r="C721" s="39" t="s">
        <v>577</v>
      </c>
      <c r="D721" s="39">
        <v>2016</v>
      </c>
      <c r="E721" s="39">
        <v>2013</v>
      </c>
      <c r="F721" s="39" t="s">
        <v>578</v>
      </c>
      <c r="G721" s="39" t="s">
        <v>381</v>
      </c>
      <c r="H721" s="39">
        <v>40.72</v>
      </c>
      <c r="I721" s="39">
        <v>-77.92</v>
      </c>
      <c r="J721" s="39">
        <v>350</v>
      </c>
      <c r="P721" s="58" t="s">
        <v>181</v>
      </c>
      <c r="Q721" s="58"/>
      <c r="R721" s="58" t="s">
        <v>583</v>
      </c>
      <c r="S721" s="58" t="s">
        <v>1640</v>
      </c>
      <c r="T721" s="58" t="s">
        <v>1640</v>
      </c>
      <c r="X721" s="39" t="s">
        <v>168</v>
      </c>
      <c r="AB721" s="39" t="s">
        <v>1568</v>
      </c>
      <c r="AC721" s="39" t="s">
        <v>166</v>
      </c>
      <c r="AD721" s="153" t="str">
        <f t="shared" si="213"/>
        <v>Rye</v>
      </c>
      <c r="AE721" s="39" t="s">
        <v>205</v>
      </c>
      <c r="AJ721" s="39" t="s">
        <v>579</v>
      </c>
      <c r="AK721" s="39" t="s">
        <v>579</v>
      </c>
      <c r="AL721" s="39" t="s">
        <v>230</v>
      </c>
      <c r="AP721" s="39" t="s">
        <v>208</v>
      </c>
      <c r="AQ721" s="39">
        <v>4</v>
      </c>
      <c r="AR721" s="39">
        <v>4</v>
      </c>
      <c r="AS721" s="39" t="s">
        <v>404</v>
      </c>
      <c r="AW721" s="63"/>
      <c r="BB721" s="39">
        <f>3.6*1000</f>
        <v>3600</v>
      </c>
      <c r="BC721" s="39">
        <f>3.7*1000</f>
        <v>3700</v>
      </c>
      <c r="DM721" s="39">
        <v>510</v>
      </c>
      <c r="DN721" s="39">
        <v>200</v>
      </c>
      <c r="DS721" s="12"/>
      <c r="DU721" s="15"/>
      <c r="FC721" s="39">
        <v>33</v>
      </c>
    </row>
    <row r="722" spans="1:159" s="35" customFormat="1" x14ac:dyDescent="0.25">
      <c r="A722" s="35">
        <v>33</v>
      </c>
      <c r="B722" s="35" t="s">
        <v>576</v>
      </c>
      <c r="C722" s="35" t="s">
        <v>577</v>
      </c>
      <c r="D722" s="35">
        <v>2016</v>
      </c>
      <c r="E722" s="35">
        <v>2012</v>
      </c>
      <c r="F722" s="35" t="s">
        <v>578</v>
      </c>
      <c r="G722" s="35" t="s">
        <v>381</v>
      </c>
      <c r="H722" s="35">
        <v>40.72</v>
      </c>
      <c r="I722" s="35">
        <v>-77.92</v>
      </c>
      <c r="J722" s="35">
        <v>350</v>
      </c>
      <c r="P722" s="54" t="s">
        <v>180</v>
      </c>
      <c r="Q722" s="54"/>
      <c r="R722" s="54" t="s">
        <v>580</v>
      </c>
      <c r="S722" s="54" t="s">
        <v>1640</v>
      </c>
      <c r="T722" s="54" t="s">
        <v>1640</v>
      </c>
      <c r="X722" s="35" t="s">
        <v>168</v>
      </c>
      <c r="AB722" s="35" t="s">
        <v>1568</v>
      </c>
      <c r="AC722" s="35" t="s">
        <v>301</v>
      </c>
      <c r="AD722" s="153" t="str">
        <f t="shared" si="213"/>
        <v>Vetch</v>
      </c>
      <c r="AE722" s="35" t="s">
        <v>167</v>
      </c>
      <c r="AJ722" s="35" t="s">
        <v>579</v>
      </c>
      <c r="AK722" s="35" t="s">
        <v>579</v>
      </c>
      <c r="AL722" s="35" t="s">
        <v>230</v>
      </c>
      <c r="AP722" s="35" t="s">
        <v>208</v>
      </c>
      <c r="AQ722" s="35">
        <v>4</v>
      </c>
      <c r="AR722" s="35">
        <v>4</v>
      </c>
      <c r="AS722" s="35" t="s">
        <v>404</v>
      </c>
      <c r="AW722" s="63"/>
      <c r="BB722" s="35">
        <f>10.3*1000</f>
        <v>10300</v>
      </c>
      <c r="BC722" s="35">
        <f>11.9*1000</f>
        <v>11900</v>
      </c>
      <c r="DM722" s="35">
        <v>700</v>
      </c>
      <c r="DN722" s="35">
        <v>430</v>
      </c>
      <c r="DS722" s="12"/>
      <c r="DU722" s="15"/>
      <c r="FC722" s="35">
        <v>33</v>
      </c>
    </row>
    <row r="723" spans="1:159" s="35" customFormat="1" x14ac:dyDescent="0.25">
      <c r="A723" s="35">
        <v>33</v>
      </c>
      <c r="B723" s="35" t="s">
        <v>576</v>
      </c>
      <c r="C723" s="35" t="s">
        <v>577</v>
      </c>
      <c r="D723" s="35">
        <v>2016</v>
      </c>
      <c r="E723" s="35">
        <v>2012</v>
      </c>
      <c r="F723" s="35" t="s">
        <v>578</v>
      </c>
      <c r="G723" s="35" t="s">
        <v>381</v>
      </c>
      <c r="H723" s="35">
        <v>40.72</v>
      </c>
      <c r="I723" s="35">
        <v>-77.92</v>
      </c>
      <c r="J723" s="35">
        <v>350</v>
      </c>
      <c r="P723" s="54" t="s">
        <v>180</v>
      </c>
      <c r="Q723" s="54"/>
      <c r="R723" s="54" t="s">
        <v>581</v>
      </c>
      <c r="S723" s="54" t="s">
        <v>1640</v>
      </c>
      <c r="T723" s="54" t="s">
        <v>1640</v>
      </c>
      <c r="X723" s="35" t="s">
        <v>168</v>
      </c>
      <c r="AB723" s="35" t="s">
        <v>1568</v>
      </c>
      <c r="AC723" s="35" t="s">
        <v>301</v>
      </c>
      <c r="AD723" s="153" t="str">
        <f t="shared" si="213"/>
        <v>Vetch</v>
      </c>
      <c r="AE723" s="35" t="s">
        <v>167</v>
      </c>
      <c r="AJ723" s="35" t="s">
        <v>579</v>
      </c>
      <c r="AK723" s="35" t="s">
        <v>579</v>
      </c>
      <c r="AL723" s="35" t="s">
        <v>230</v>
      </c>
      <c r="AP723" s="35" t="s">
        <v>208</v>
      </c>
      <c r="AQ723" s="35">
        <v>4</v>
      </c>
      <c r="AR723" s="35">
        <v>4</v>
      </c>
      <c r="AS723" s="35" t="s">
        <v>404</v>
      </c>
      <c r="AW723" s="63"/>
      <c r="BB723" s="35">
        <f>10.1*1000</f>
        <v>10100</v>
      </c>
      <c r="BC723" s="35">
        <f>10.9*1000</f>
        <v>10900</v>
      </c>
      <c r="DM723" s="35">
        <v>150</v>
      </c>
      <c r="DN723" s="35">
        <v>530</v>
      </c>
      <c r="DS723" s="12"/>
      <c r="DU723" s="15"/>
      <c r="FC723" s="35">
        <v>33</v>
      </c>
    </row>
    <row r="724" spans="1:159" s="35" customFormat="1" x14ac:dyDescent="0.25">
      <c r="A724" s="35">
        <v>33</v>
      </c>
      <c r="B724" s="35" t="s">
        <v>576</v>
      </c>
      <c r="C724" s="35" t="s">
        <v>577</v>
      </c>
      <c r="D724" s="35">
        <v>2016</v>
      </c>
      <c r="E724" s="35">
        <v>2012</v>
      </c>
      <c r="F724" s="35" t="s">
        <v>578</v>
      </c>
      <c r="G724" s="35" t="s">
        <v>381</v>
      </c>
      <c r="H724" s="35">
        <v>40.72</v>
      </c>
      <c r="I724" s="35">
        <v>-77.92</v>
      </c>
      <c r="J724" s="35">
        <v>350</v>
      </c>
      <c r="P724" s="54" t="s">
        <v>180</v>
      </c>
      <c r="Q724" s="54"/>
      <c r="R724" s="54" t="s">
        <v>582</v>
      </c>
      <c r="S724" s="54" t="s">
        <v>1640</v>
      </c>
      <c r="T724" s="54" t="s">
        <v>1640</v>
      </c>
      <c r="X724" s="35" t="s">
        <v>168</v>
      </c>
      <c r="AB724" s="35" t="s">
        <v>1568</v>
      </c>
      <c r="AC724" s="35" t="s">
        <v>301</v>
      </c>
      <c r="AD724" s="153" t="str">
        <f t="shared" si="213"/>
        <v>Vetch</v>
      </c>
      <c r="AE724" s="35" t="s">
        <v>167</v>
      </c>
      <c r="AJ724" s="35" t="s">
        <v>579</v>
      </c>
      <c r="AK724" s="35" t="s">
        <v>579</v>
      </c>
      <c r="AL724" s="35" t="s">
        <v>230</v>
      </c>
      <c r="AP724" s="35" t="s">
        <v>208</v>
      </c>
      <c r="AQ724" s="35">
        <v>4</v>
      </c>
      <c r="AR724" s="35">
        <v>4</v>
      </c>
      <c r="AS724" s="35" t="s">
        <v>404</v>
      </c>
      <c r="AW724" s="63"/>
      <c r="BB724" s="35">
        <f>9.8*1000</f>
        <v>9800</v>
      </c>
      <c r="BC724" s="35">
        <f>10.1*1000</f>
        <v>10100</v>
      </c>
      <c r="DM724" s="35">
        <v>120</v>
      </c>
      <c r="DN724" s="35">
        <v>680</v>
      </c>
      <c r="DS724" s="12"/>
      <c r="DU724" s="15"/>
      <c r="FC724" s="35">
        <v>33</v>
      </c>
    </row>
    <row r="725" spans="1:159" s="35" customFormat="1" x14ac:dyDescent="0.25">
      <c r="A725" s="35">
        <v>33</v>
      </c>
      <c r="B725" s="35" t="s">
        <v>576</v>
      </c>
      <c r="C725" s="35" t="s">
        <v>577</v>
      </c>
      <c r="D725" s="35">
        <v>2016</v>
      </c>
      <c r="E725" s="35">
        <v>2012</v>
      </c>
      <c r="F725" s="35" t="s">
        <v>578</v>
      </c>
      <c r="G725" s="35" t="s">
        <v>381</v>
      </c>
      <c r="H725" s="35">
        <v>40.72</v>
      </c>
      <c r="I725" s="35">
        <v>-77.92</v>
      </c>
      <c r="J725" s="35">
        <v>350</v>
      </c>
      <c r="P725" s="54" t="s">
        <v>180</v>
      </c>
      <c r="Q725" s="54"/>
      <c r="R725" s="54" t="s">
        <v>583</v>
      </c>
      <c r="S725" s="54" t="s">
        <v>1640</v>
      </c>
      <c r="T725" s="54" t="s">
        <v>1640</v>
      </c>
      <c r="X725" s="35" t="s">
        <v>168</v>
      </c>
      <c r="AB725" s="35" t="s">
        <v>1568</v>
      </c>
      <c r="AC725" s="35" t="s">
        <v>301</v>
      </c>
      <c r="AD725" s="153" t="str">
        <f t="shared" si="213"/>
        <v>Vetch</v>
      </c>
      <c r="AE725" s="35" t="s">
        <v>167</v>
      </c>
      <c r="AJ725" s="35" t="s">
        <v>579</v>
      </c>
      <c r="AK725" s="35" t="s">
        <v>579</v>
      </c>
      <c r="AL725" s="35" t="s">
        <v>230</v>
      </c>
      <c r="AP725" s="35" t="s">
        <v>208</v>
      </c>
      <c r="AQ725" s="35">
        <v>4</v>
      </c>
      <c r="AR725" s="35">
        <v>4</v>
      </c>
      <c r="AS725" s="35" t="s">
        <v>404</v>
      </c>
      <c r="AW725" s="63"/>
      <c r="BB725" s="35">
        <f>10.6*1000</f>
        <v>10600</v>
      </c>
      <c r="BC725" s="35">
        <f>11.7*1000</f>
        <v>11700</v>
      </c>
      <c r="DM725" s="35">
        <v>50</v>
      </c>
      <c r="DN725" s="35">
        <v>290</v>
      </c>
      <c r="DS725" s="12"/>
      <c r="DU725" s="15"/>
      <c r="FC725" s="35">
        <v>33</v>
      </c>
    </row>
    <row r="726" spans="1:159" s="35" customFormat="1" x14ac:dyDescent="0.25">
      <c r="A726" s="35">
        <v>33</v>
      </c>
      <c r="B726" s="35" t="s">
        <v>576</v>
      </c>
      <c r="C726" s="35" t="s">
        <v>577</v>
      </c>
      <c r="D726" s="35">
        <v>2016</v>
      </c>
      <c r="E726" s="35">
        <v>2013</v>
      </c>
      <c r="F726" s="35" t="s">
        <v>578</v>
      </c>
      <c r="G726" s="35" t="s">
        <v>381</v>
      </c>
      <c r="H726" s="35">
        <v>40.72</v>
      </c>
      <c r="I726" s="35">
        <v>-77.92</v>
      </c>
      <c r="J726" s="35">
        <v>350</v>
      </c>
      <c r="P726" s="54" t="s">
        <v>181</v>
      </c>
      <c r="Q726" s="54"/>
      <c r="R726" s="54" t="s">
        <v>580</v>
      </c>
      <c r="S726" s="54" t="s">
        <v>1640</v>
      </c>
      <c r="T726" s="54" t="s">
        <v>1640</v>
      </c>
      <c r="X726" s="35" t="s">
        <v>168</v>
      </c>
      <c r="AB726" s="35" t="s">
        <v>1568</v>
      </c>
      <c r="AC726" s="35" t="s">
        <v>301</v>
      </c>
      <c r="AD726" s="153" t="str">
        <f t="shared" si="213"/>
        <v>Vetch</v>
      </c>
      <c r="AE726" s="35" t="s">
        <v>167</v>
      </c>
      <c r="AJ726" s="35" t="s">
        <v>579</v>
      </c>
      <c r="AK726" s="35" t="s">
        <v>579</v>
      </c>
      <c r="AL726" s="35" t="s">
        <v>230</v>
      </c>
      <c r="AP726" s="35" t="s">
        <v>208</v>
      </c>
      <c r="AQ726" s="35">
        <v>4</v>
      </c>
      <c r="AR726" s="35">
        <v>4</v>
      </c>
      <c r="AS726" s="35" t="s">
        <v>404</v>
      </c>
      <c r="AW726" s="63"/>
      <c r="BB726" s="35">
        <f>11.2*1000</f>
        <v>11200</v>
      </c>
      <c r="BC726" s="35">
        <f>11*1000</f>
        <v>11000</v>
      </c>
      <c r="DM726" s="35">
        <v>220</v>
      </c>
      <c r="DN726" s="35">
        <v>240</v>
      </c>
      <c r="DS726" s="12"/>
      <c r="DU726" s="15"/>
      <c r="FC726" s="35">
        <v>33</v>
      </c>
    </row>
    <row r="727" spans="1:159" s="35" customFormat="1" x14ac:dyDescent="0.25">
      <c r="A727" s="35">
        <v>33</v>
      </c>
      <c r="B727" s="35" t="s">
        <v>576</v>
      </c>
      <c r="C727" s="35" t="s">
        <v>577</v>
      </c>
      <c r="D727" s="35">
        <v>2016</v>
      </c>
      <c r="E727" s="35">
        <v>2013</v>
      </c>
      <c r="F727" s="35" t="s">
        <v>578</v>
      </c>
      <c r="G727" s="35" t="s">
        <v>381</v>
      </c>
      <c r="H727" s="35">
        <v>40.72</v>
      </c>
      <c r="I727" s="35">
        <v>-77.92</v>
      </c>
      <c r="J727" s="35">
        <v>350</v>
      </c>
      <c r="P727" s="54" t="s">
        <v>181</v>
      </c>
      <c r="Q727" s="54"/>
      <c r="R727" s="54" t="s">
        <v>581</v>
      </c>
      <c r="S727" s="54" t="s">
        <v>1640</v>
      </c>
      <c r="T727" s="54" t="s">
        <v>1640</v>
      </c>
      <c r="X727" s="35" t="s">
        <v>168</v>
      </c>
      <c r="AB727" s="35" t="s">
        <v>1568</v>
      </c>
      <c r="AC727" s="35" t="s">
        <v>301</v>
      </c>
      <c r="AD727" s="153" t="str">
        <f t="shared" si="213"/>
        <v>Vetch</v>
      </c>
      <c r="AE727" s="35" t="s">
        <v>167</v>
      </c>
      <c r="AJ727" s="35" t="s">
        <v>579</v>
      </c>
      <c r="AK727" s="35" t="s">
        <v>579</v>
      </c>
      <c r="AL727" s="35" t="s">
        <v>230</v>
      </c>
      <c r="AP727" s="35" t="s">
        <v>208</v>
      </c>
      <c r="AQ727" s="35">
        <v>4</v>
      </c>
      <c r="AR727" s="35">
        <v>4</v>
      </c>
      <c r="AS727" s="35" t="s">
        <v>404</v>
      </c>
      <c r="AW727" s="63"/>
      <c r="BB727" s="35">
        <f>11.2*1000</f>
        <v>11200</v>
      </c>
      <c r="BC727" s="35">
        <f>11.1*1000</f>
        <v>11100</v>
      </c>
      <c r="DM727" s="35">
        <v>230</v>
      </c>
      <c r="DN727" s="35">
        <v>140</v>
      </c>
      <c r="DS727" s="12"/>
      <c r="DU727" s="15"/>
      <c r="FC727" s="35">
        <v>33</v>
      </c>
    </row>
    <row r="728" spans="1:159" s="35" customFormat="1" x14ac:dyDescent="0.25">
      <c r="A728" s="35">
        <v>33</v>
      </c>
      <c r="B728" s="35" t="s">
        <v>576</v>
      </c>
      <c r="C728" s="35" t="s">
        <v>577</v>
      </c>
      <c r="D728" s="35">
        <v>2016</v>
      </c>
      <c r="E728" s="35">
        <v>2013</v>
      </c>
      <c r="F728" s="35" t="s">
        <v>578</v>
      </c>
      <c r="G728" s="35" t="s">
        <v>381</v>
      </c>
      <c r="H728" s="35">
        <v>40.72</v>
      </c>
      <c r="I728" s="35">
        <v>-77.92</v>
      </c>
      <c r="J728" s="35">
        <v>350</v>
      </c>
      <c r="P728" s="54" t="s">
        <v>181</v>
      </c>
      <c r="Q728" s="54"/>
      <c r="R728" s="54" t="s">
        <v>582</v>
      </c>
      <c r="S728" s="54" t="s">
        <v>1640</v>
      </c>
      <c r="T728" s="54" t="s">
        <v>1640</v>
      </c>
      <c r="X728" s="35" t="s">
        <v>168</v>
      </c>
      <c r="AB728" s="35" t="s">
        <v>1568</v>
      </c>
      <c r="AC728" s="35" t="s">
        <v>301</v>
      </c>
      <c r="AD728" s="153" t="str">
        <f t="shared" si="213"/>
        <v>Vetch</v>
      </c>
      <c r="AE728" s="35" t="s">
        <v>167</v>
      </c>
      <c r="AJ728" s="35" t="s">
        <v>579</v>
      </c>
      <c r="AK728" s="35" t="s">
        <v>579</v>
      </c>
      <c r="AL728" s="35" t="s">
        <v>230</v>
      </c>
      <c r="AP728" s="35" t="s">
        <v>208</v>
      </c>
      <c r="AQ728" s="35">
        <v>4</v>
      </c>
      <c r="AR728" s="35">
        <v>4</v>
      </c>
      <c r="AS728" s="35" t="s">
        <v>404</v>
      </c>
      <c r="AW728" s="63"/>
      <c r="DM728" s="35">
        <v>100</v>
      </c>
      <c r="DN728" s="35">
        <v>130</v>
      </c>
      <c r="DS728" s="12"/>
      <c r="DU728" s="15"/>
      <c r="FC728" s="35">
        <v>33</v>
      </c>
    </row>
    <row r="729" spans="1:159" s="35" customFormat="1" x14ac:dyDescent="0.25">
      <c r="A729" s="35">
        <v>33</v>
      </c>
      <c r="B729" s="35" t="s">
        <v>576</v>
      </c>
      <c r="C729" s="35" t="s">
        <v>577</v>
      </c>
      <c r="D729" s="35">
        <v>2016</v>
      </c>
      <c r="E729" s="35">
        <v>2013</v>
      </c>
      <c r="F729" s="35" t="s">
        <v>578</v>
      </c>
      <c r="G729" s="35" t="s">
        <v>381</v>
      </c>
      <c r="H729" s="35">
        <v>40.72</v>
      </c>
      <c r="I729" s="35">
        <v>-77.92</v>
      </c>
      <c r="J729" s="35">
        <v>350</v>
      </c>
      <c r="P729" s="54" t="s">
        <v>181</v>
      </c>
      <c r="Q729" s="54"/>
      <c r="R729" s="54" t="s">
        <v>583</v>
      </c>
      <c r="S729" s="54" t="s">
        <v>1640</v>
      </c>
      <c r="T729" s="54" t="s">
        <v>1640</v>
      </c>
      <c r="X729" s="35" t="s">
        <v>168</v>
      </c>
      <c r="AB729" s="35" t="s">
        <v>1568</v>
      </c>
      <c r="AC729" s="35" t="s">
        <v>301</v>
      </c>
      <c r="AD729" s="153" t="str">
        <f t="shared" si="213"/>
        <v>Vetch</v>
      </c>
      <c r="AE729" s="35" t="s">
        <v>167</v>
      </c>
      <c r="AJ729" s="35" t="s">
        <v>579</v>
      </c>
      <c r="AK729" s="35" t="s">
        <v>579</v>
      </c>
      <c r="AL729" s="35" t="s">
        <v>230</v>
      </c>
      <c r="AP729" s="35" t="s">
        <v>208</v>
      </c>
      <c r="AQ729" s="35">
        <v>4</v>
      </c>
      <c r="AR729" s="35">
        <v>4</v>
      </c>
      <c r="AS729" s="35" t="s">
        <v>404</v>
      </c>
      <c r="AW729" s="63"/>
      <c r="BB729" s="35">
        <f>12.4*1000</f>
        <v>12400</v>
      </c>
      <c r="BC729" s="35">
        <f>12.1*1000</f>
        <v>12100</v>
      </c>
      <c r="DS729" s="12"/>
      <c r="DU729" s="15"/>
      <c r="FC729" s="35">
        <v>33</v>
      </c>
    </row>
    <row r="730" spans="1:159" s="35" customFormat="1" x14ac:dyDescent="0.25">
      <c r="A730" s="35">
        <v>33</v>
      </c>
      <c r="B730" s="35" t="s">
        <v>576</v>
      </c>
      <c r="C730" s="35" t="s">
        <v>577</v>
      </c>
      <c r="D730" s="35">
        <v>2016</v>
      </c>
      <c r="E730" s="35">
        <v>2014</v>
      </c>
      <c r="F730" s="35" t="s">
        <v>578</v>
      </c>
      <c r="G730" s="35" t="s">
        <v>381</v>
      </c>
      <c r="H730" s="35">
        <v>40.72</v>
      </c>
      <c r="I730" s="35">
        <v>-77.92</v>
      </c>
      <c r="J730" s="35">
        <v>350</v>
      </c>
      <c r="P730" s="54" t="s">
        <v>182</v>
      </c>
      <c r="Q730" s="54"/>
      <c r="R730" s="54" t="s">
        <v>580</v>
      </c>
      <c r="S730" s="54" t="s">
        <v>1640</v>
      </c>
      <c r="T730" s="54" t="s">
        <v>1640</v>
      </c>
      <c r="X730" s="35" t="s">
        <v>168</v>
      </c>
      <c r="AB730" s="35" t="s">
        <v>1568</v>
      </c>
      <c r="AC730" s="35" t="s">
        <v>301</v>
      </c>
      <c r="AD730" s="153" t="str">
        <f t="shared" si="213"/>
        <v>Vetch</v>
      </c>
      <c r="AE730" s="35" t="s">
        <v>167</v>
      </c>
      <c r="AJ730" s="35" t="s">
        <v>579</v>
      </c>
      <c r="AK730" s="35" t="s">
        <v>579</v>
      </c>
      <c r="AL730" s="35" t="s">
        <v>230</v>
      </c>
      <c r="AP730" s="35" t="s">
        <v>208</v>
      </c>
      <c r="AQ730" s="35">
        <v>4</v>
      </c>
      <c r="AR730" s="35">
        <v>4</v>
      </c>
      <c r="AS730" s="35" t="s">
        <v>404</v>
      </c>
      <c r="AW730" s="63"/>
      <c r="DM730" s="35">
        <v>240</v>
      </c>
      <c r="DN730" s="35">
        <v>660</v>
      </c>
      <c r="DS730" s="12"/>
      <c r="DU730" s="15"/>
      <c r="FC730" s="35">
        <v>33</v>
      </c>
    </row>
    <row r="731" spans="1:159" s="35" customFormat="1" x14ac:dyDescent="0.25">
      <c r="A731" s="35">
        <v>33</v>
      </c>
      <c r="B731" s="35" t="s">
        <v>576</v>
      </c>
      <c r="C731" s="35" t="s">
        <v>577</v>
      </c>
      <c r="D731" s="35">
        <v>2016</v>
      </c>
      <c r="E731" s="35">
        <v>2014</v>
      </c>
      <c r="F731" s="35" t="s">
        <v>578</v>
      </c>
      <c r="G731" s="35" t="s">
        <v>381</v>
      </c>
      <c r="H731" s="35">
        <v>40.72</v>
      </c>
      <c r="I731" s="35">
        <v>-77.92</v>
      </c>
      <c r="J731" s="35">
        <v>350</v>
      </c>
      <c r="P731" s="54" t="s">
        <v>182</v>
      </c>
      <c r="Q731" s="54"/>
      <c r="R731" s="54" t="s">
        <v>581</v>
      </c>
      <c r="S731" s="54" t="s">
        <v>1640</v>
      </c>
      <c r="T731" s="54" t="s">
        <v>1640</v>
      </c>
      <c r="X731" s="35" t="s">
        <v>168</v>
      </c>
      <c r="AB731" s="35" t="s">
        <v>1568</v>
      </c>
      <c r="AC731" s="35" t="s">
        <v>301</v>
      </c>
      <c r="AD731" s="153" t="str">
        <f t="shared" si="213"/>
        <v>Vetch</v>
      </c>
      <c r="AE731" s="35" t="s">
        <v>167</v>
      </c>
      <c r="AJ731" s="35" t="s">
        <v>579</v>
      </c>
      <c r="AK731" s="35" t="s">
        <v>579</v>
      </c>
      <c r="AL731" s="35" t="s">
        <v>230</v>
      </c>
      <c r="AP731" s="35" t="s">
        <v>208</v>
      </c>
      <c r="AQ731" s="35">
        <v>4</v>
      </c>
      <c r="AR731" s="35">
        <v>4</v>
      </c>
      <c r="AS731" s="35" t="s">
        <v>404</v>
      </c>
      <c r="AW731" s="63"/>
      <c r="DM731" s="35">
        <v>30</v>
      </c>
      <c r="DN731" s="35">
        <v>250</v>
      </c>
      <c r="DS731" s="12"/>
      <c r="DU731" s="15"/>
      <c r="FC731" s="35">
        <v>33</v>
      </c>
    </row>
    <row r="732" spans="1:159" s="35" customFormat="1" x14ac:dyDescent="0.25">
      <c r="A732" s="35">
        <v>33</v>
      </c>
      <c r="B732" s="35" t="s">
        <v>576</v>
      </c>
      <c r="C732" s="35" t="s">
        <v>577</v>
      </c>
      <c r="D732" s="35">
        <v>2016</v>
      </c>
      <c r="E732" s="35">
        <v>2014</v>
      </c>
      <c r="F732" s="35" t="s">
        <v>578</v>
      </c>
      <c r="G732" s="35" t="s">
        <v>381</v>
      </c>
      <c r="H732" s="35">
        <v>40.72</v>
      </c>
      <c r="I732" s="35">
        <v>-77.92</v>
      </c>
      <c r="J732" s="35">
        <v>350</v>
      </c>
      <c r="P732" s="54" t="s">
        <v>182</v>
      </c>
      <c r="Q732" s="54"/>
      <c r="R732" s="54" t="s">
        <v>582</v>
      </c>
      <c r="S732" s="54" t="s">
        <v>1640</v>
      </c>
      <c r="T732" s="54" t="s">
        <v>1640</v>
      </c>
      <c r="X732" s="35" t="s">
        <v>168</v>
      </c>
      <c r="AB732" s="35" t="s">
        <v>1568</v>
      </c>
      <c r="AC732" s="35" t="s">
        <v>301</v>
      </c>
      <c r="AD732" s="153" t="str">
        <f t="shared" si="213"/>
        <v>Vetch</v>
      </c>
      <c r="AE732" s="35" t="s">
        <v>167</v>
      </c>
      <c r="AJ732" s="35" t="s">
        <v>579</v>
      </c>
      <c r="AK732" s="35" t="s">
        <v>579</v>
      </c>
      <c r="AL732" s="35" t="s">
        <v>230</v>
      </c>
      <c r="AP732" s="35" t="s">
        <v>208</v>
      </c>
      <c r="AQ732" s="35">
        <v>4</v>
      </c>
      <c r="AR732" s="35">
        <v>4</v>
      </c>
      <c r="AS732" s="35" t="s">
        <v>404</v>
      </c>
      <c r="AW732" s="63"/>
      <c r="DM732" s="35">
        <v>10</v>
      </c>
      <c r="DN732" s="35">
        <v>170</v>
      </c>
      <c r="DS732" s="12"/>
      <c r="DU732" s="15"/>
      <c r="FC732" s="35">
        <v>33</v>
      </c>
    </row>
    <row r="733" spans="1:159" s="35" customFormat="1" x14ac:dyDescent="0.25">
      <c r="A733" s="35">
        <v>33</v>
      </c>
      <c r="B733" s="35" t="s">
        <v>576</v>
      </c>
      <c r="C733" s="35" t="s">
        <v>577</v>
      </c>
      <c r="D733" s="35">
        <v>2016</v>
      </c>
      <c r="E733" s="35">
        <v>2014</v>
      </c>
      <c r="F733" s="35" t="s">
        <v>578</v>
      </c>
      <c r="G733" s="35" t="s">
        <v>381</v>
      </c>
      <c r="H733" s="35">
        <v>40.72</v>
      </c>
      <c r="I733" s="35">
        <v>-77.92</v>
      </c>
      <c r="J733" s="35">
        <v>350</v>
      </c>
      <c r="P733" s="54" t="s">
        <v>182</v>
      </c>
      <c r="Q733" s="54"/>
      <c r="R733" s="54" t="s">
        <v>583</v>
      </c>
      <c r="S733" s="54" t="s">
        <v>1640</v>
      </c>
      <c r="T733" s="54" t="s">
        <v>1640</v>
      </c>
      <c r="X733" s="35" t="s">
        <v>168</v>
      </c>
      <c r="AB733" s="35" t="s">
        <v>1568</v>
      </c>
      <c r="AC733" s="35" t="s">
        <v>301</v>
      </c>
      <c r="AD733" s="153" t="str">
        <f t="shared" si="213"/>
        <v>Vetch</v>
      </c>
      <c r="AE733" s="35" t="s">
        <v>167</v>
      </c>
      <c r="AJ733" s="35" t="s">
        <v>579</v>
      </c>
      <c r="AK733" s="35" t="s">
        <v>579</v>
      </c>
      <c r="AL733" s="35" t="s">
        <v>230</v>
      </c>
      <c r="AP733" s="35" t="s">
        <v>208</v>
      </c>
      <c r="AQ733" s="35">
        <v>4</v>
      </c>
      <c r="AR733" s="35">
        <v>4</v>
      </c>
      <c r="AS733" s="35" t="s">
        <v>404</v>
      </c>
      <c r="AW733" s="63"/>
      <c r="DM733" s="35">
        <v>10</v>
      </c>
      <c r="DN733" s="35">
        <v>70</v>
      </c>
      <c r="DS733" s="12"/>
      <c r="DU733" s="15"/>
      <c r="FC733" s="35">
        <v>33</v>
      </c>
    </row>
    <row r="734" spans="1:159" s="38" customFormat="1" x14ac:dyDescent="0.25">
      <c r="A734" s="38">
        <v>34</v>
      </c>
      <c r="B734" s="38" t="s">
        <v>584</v>
      </c>
      <c r="C734" s="38" t="s">
        <v>585</v>
      </c>
      <c r="D734" s="38">
        <v>2004</v>
      </c>
      <c r="E734" s="38">
        <v>1989</v>
      </c>
      <c r="F734" s="38" t="s">
        <v>586</v>
      </c>
      <c r="G734" s="38" t="s">
        <v>587</v>
      </c>
      <c r="H734" s="38">
        <f>30+1/60</f>
        <v>30.016666666666666</v>
      </c>
      <c r="I734" s="38">
        <f>-85-32/60</f>
        <v>-85.533333333333331</v>
      </c>
      <c r="J734" s="38">
        <v>4.8</v>
      </c>
      <c r="P734" s="57" t="s">
        <v>182</v>
      </c>
      <c r="Q734" s="57"/>
      <c r="R734" s="57"/>
      <c r="S734" s="57" t="s">
        <v>1640</v>
      </c>
      <c r="T734" s="57" t="s">
        <v>1640</v>
      </c>
      <c r="V734" s="38">
        <v>66</v>
      </c>
      <c r="W734" s="38">
        <v>22</v>
      </c>
      <c r="X734" s="38" t="s">
        <v>168</v>
      </c>
      <c r="AB734" s="38" t="s">
        <v>1571</v>
      </c>
      <c r="AC734" s="38" t="s">
        <v>1811</v>
      </c>
      <c r="AD734" s="153" t="str">
        <f t="shared" si="213"/>
        <v>Winter_wheat</v>
      </c>
      <c r="AE734" s="38" t="s">
        <v>167</v>
      </c>
      <c r="AG734" s="38" t="s">
        <v>527</v>
      </c>
      <c r="AH734" s="38" t="s">
        <v>527</v>
      </c>
      <c r="AI734" s="38" t="s">
        <v>230</v>
      </c>
      <c r="AJ734" s="38" t="s">
        <v>590</v>
      </c>
      <c r="AK734" s="38" t="s">
        <v>203</v>
      </c>
      <c r="AL734" s="38" t="s">
        <v>618</v>
      </c>
      <c r="AM734" s="38" t="s">
        <v>588</v>
      </c>
      <c r="AN734" s="38" t="s">
        <v>589</v>
      </c>
      <c r="AO734" s="38" t="s">
        <v>618</v>
      </c>
      <c r="AP734" s="38" t="s">
        <v>208</v>
      </c>
      <c r="AW734" s="64"/>
      <c r="AX734" s="38" t="s">
        <v>591</v>
      </c>
      <c r="BB734" s="38">
        <f>(11.1+8.1+11.6+8+9.9+8.3+7.3+10.7+10.2)/9*1000</f>
        <v>9466.6666666666661</v>
      </c>
      <c r="BC734" s="38">
        <f>(8.6+8.9+9.9)/3*1000</f>
        <v>9133.3333333333321</v>
      </c>
      <c r="DA734" s="38">
        <f>(17.8+9.6+6.6)/3</f>
        <v>11.333333333333334</v>
      </c>
      <c r="DB734" s="38">
        <f>(19.9+22.4+31.6+26.8+32.6+24.1+13.3+27.6+16.9)/9</f>
        <v>23.911111111111111</v>
      </c>
      <c r="DC734" s="38" t="s">
        <v>575</v>
      </c>
      <c r="DS734" s="12"/>
      <c r="DU734" s="15"/>
      <c r="FA734" s="38" t="s">
        <v>575</v>
      </c>
      <c r="FC734" s="38">
        <v>34</v>
      </c>
    </row>
    <row r="735" spans="1:159" s="38" customFormat="1" x14ac:dyDescent="0.25">
      <c r="A735" s="38">
        <v>34</v>
      </c>
      <c r="B735" s="38" t="s">
        <v>584</v>
      </c>
      <c r="C735" s="38" t="s">
        <v>585</v>
      </c>
      <c r="D735" s="38">
        <v>2004</v>
      </c>
      <c r="E735" s="38">
        <v>1989</v>
      </c>
      <c r="F735" s="38" t="s">
        <v>586</v>
      </c>
      <c r="G735" s="38" t="s">
        <v>587</v>
      </c>
      <c r="H735" s="38">
        <f>30+1/60</f>
        <v>30.016666666666666</v>
      </c>
      <c r="I735" s="38">
        <f>-85-32/60</f>
        <v>-85.533333333333331</v>
      </c>
      <c r="J735" s="38">
        <v>4.8</v>
      </c>
      <c r="P735" s="57" t="s">
        <v>182</v>
      </c>
      <c r="Q735" s="57"/>
      <c r="R735" s="57"/>
      <c r="S735" s="57" t="s">
        <v>1640</v>
      </c>
      <c r="T735" s="57" t="s">
        <v>1640</v>
      </c>
      <c r="V735" s="38">
        <v>66</v>
      </c>
      <c r="W735" s="38">
        <v>22</v>
      </c>
      <c r="X735" s="38" t="s">
        <v>168</v>
      </c>
      <c r="AB735" s="38" t="s">
        <v>1571</v>
      </c>
      <c r="AC735" s="38" t="s">
        <v>1811</v>
      </c>
      <c r="AD735" s="153" t="str">
        <f t="shared" si="213"/>
        <v>Winter_wheat</v>
      </c>
      <c r="AE735" s="38" t="s">
        <v>167</v>
      </c>
      <c r="AG735" s="38" t="s">
        <v>527</v>
      </c>
      <c r="AH735" s="38" t="s">
        <v>527</v>
      </c>
      <c r="AI735" s="38" t="s">
        <v>230</v>
      </c>
      <c r="AJ735" s="38" t="s">
        <v>590</v>
      </c>
      <c r="AK735" s="38" t="s">
        <v>203</v>
      </c>
      <c r="AL735" s="38" t="s">
        <v>618</v>
      </c>
      <c r="AM735" s="38" t="s">
        <v>588</v>
      </c>
      <c r="AN735" s="38" t="s">
        <v>589</v>
      </c>
      <c r="AO735" s="38" t="s">
        <v>618</v>
      </c>
      <c r="AP735" s="38" t="s">
        <v>208</v>
      </c>
      <c r="AW735" s="64"/>
      <c r="AX735" s="38" t="s">
        <v>592</v>
      </c>
      <c r="BB735" s="38">
        <f>(11.5+8.3+12.1+8.4+9.6+7.6+7.1+10.6+9.9)/9*1000</f>
        <v>9455.5555555555566</v>
      </c>
      <c r="BC735" s="38">
        <f>(8.5+8.6+10.1)/3*1000</f>
        <v>9066.6666666666679</v>
      </c>
      <c r="DA735" s="38">
        <f>(15.1+10.7+6.4)/3</f>
        <v>10.733333333333333</v>
      </c>
      <c r="DB735" s="38">
        <f>(20+25+33.5+29+34.5+22.5+15.6+30.1+17.1)/9</f>
        <v>25.255555555555553</v>
      </c>
      <c r="DC735" s="38" t="s">
        <v>575</v>
      </c>
      <c r="DS735" s="12"/>
      <c r="DU735" s="15"/>
      <c r="FA735" s="38" t="s">
        <v>575</v>
      </c>
      <c r="FC735" s="38">
        <v>34</v>
      </c>
    </row>
    <row r="736" spans="1:159" s="38" customFormat="1" x14ac:dyDescent="0.25">
      <c r="A736" s="38">
        <v>34</v>
      </c>
      <c r="B736" s="38" t="s">
        <v>584</v>
      </c>
      <c r="C736" s="38" t="s">
        <v>585</v>
      </c>
      <c r="D736" s="38">
        <v>2004</v>
      </c>
      <c r="E736" s="38">
        <v>1989</v>
      </c>
      <c r="F736" s="38" t="s">
        <v>586</v>
      </c>
      <c r="G736" s="38" t="s">
        <v>587</v>
      </c>
      <c r="H736" s="38">
        <f>30+1/60</f>
        <v>30.016666666666666</v>
      </c>
      <c r="I736" s="38">
        <f>-85-32/60</f>
        <v>-85.533333333333331</v>
      </c>
      <c r="J736" s="38">
        <v>4.8</v>
      </c>
      <c r="P736" s="57" t="s">
        <v>182</v>
      </c>
      <c r="Q736" s="57"/>
      <c r="R736" s="57"/>
      <c r="S736" s="57" t="s">
        <v>1640</v>
      </c>
      <c r="T736" s="57" t="s">
        <v>1640</v>
      </c>
      <c r="V736" s="38">
        <v>66</v>
      </c>
      <c r="W736" s="38">
        <v>22</v>
      </c>
      <c r="X736" s="38" t="s">
        <v>168</v>
      </c>
      <c r="AB736" s="38" t="s">
        <v>1571</v>
      </c>
      <c r="AC736" s="38" t="s">
        <v>1811</v>
      </c>
      <c r="AD736" s="153" t="str">
        <f t="shared" si="213"/>
        <v>Winter_wheat</v>
      </c>
      <c r="AE736" s="38" t="s">
        <v>167</v>
      </c>
      <c r="AG736" s="38" t="s">
        <v>527</v>
      </c>
      <c r="AH736" s="38" t="s">
        <v>527</v>
      </c>
      <c r="AI736" s="38" t="s">
        <v>230</v>
      </c>
      <c r="AJ736" s="38" t="s">
        <v>590</v>
      </c>
      <c r="AK736" s="38" t="s">
        <v>203</v>
      </c>
      <c r="AL736" s="38" t="s">
        <v>618</v>
      </c>
      <c r="AM736" s="38" t="s">
        <v>588</v>
      </c>
      <c r="AN736" s="38" t="s">
        <v>589</v>
      </c>
      <c r="AO736" s="38" t="s">
        <v>618</v>
      </c>
      <c r="AP736" s="38" t="s">
        <v>208</v>
      </c>
      <c r="AW736" s="64"/>
      <c r="AX736" s="38" t="s">
        <v>593</v>
      </c>
      <c r="BB736" s="38">
        <f>(11.3+8.5+12.1+7.7+8.8+7.7+7.9+10.1+10)/9*1000</f>
        <v>9344.4444444444453</v>
      </c>
      <c r="BC736" s="38">
        <f>(9.2+8.8+10.1)/3*1000</f>
        <v>9366.6666666666679</v>
      </c>
      <c r="DA736" s="38">
        <f>(15.9+10.3+6.9)/3</f>
        <v>11.033333333333333</v>
      </c>
      <c r="DB736" s="38">
        <f>(20.3+23.4+30.5+27.4+30.1+20.7+15.7+28+15.3)/9</f>
        <v>23.488888888888887</v>
      </c>
      <c r="DC736" s="38" t="s">
        <v>575</v>
      </c>
      <c r="DS736" s="12"/>
      <c r="DU736" s="15"/>
      <c r="FA736" s="38" t="s">
        <v>575</v>
      </c>
      <c r="FC736" s="38">
        <v>34</v>
      </c>
    </row>
    <row r="737" spans="1:159" s="26" customFormat="1" x14ac:dyDescent="0.25">
      <c r="A737" s="26">
        <v>35</v>
      </c>
      <c r="B737" s="26" t="s">
        <v>594</v>
      </c>
      <c r="C737" s="26" t="s">
        <v>595</v>
      </c>
      <c r="D737" s="26">
        <v>2011</v>
      </c>
      <c r="E737" s="26">
        <v>2006</v>
      </c>
      <c r="F737" s="26" t="s">
        <v>162</v>
      </c>
      <c r="G737" s="26" t="s">
        <v>596</v>
      </c>
      <c r="H737" s="26">
        <f t="shared" ref="H737:H744" si="214">38+32/60</f>
        <v>38.533333333333331</v>
      </c>
      <c r="I737" s="26">
        <f t="shared" ref="I737:I744" si="215">-121-52/60</f>
        <v>-121.86666666666666</v>
      </c>
      <c r="J737" s="26">
        <v>27.1</v>
      </c>
      <c r="O737" s="26" t="s">
        <v>597</v>
      </c>
      <c r="P737" s="52" t="s">
        <v>179</v>
      </c>
      <c r="Q737" s="52"/>
      <c r="R737" s="52" t="s">
        <v>467</v>
      </c>
      <c r="S737" s="52" t="s">
        <v>1647</v>
      </c>
      <c r="T737" s="52" t="s">
        <v>1647</v>
      </c>
      <c r="X737" s="26" t="s">
        <v>598</v>
      </c>
      <c r="AB737" s="26" t="s">
        <v>1569</v>
      </c>
      <c r="AC737" s="26" t="s">
        <v>301</v>
      </c>
      <c r="AD737" s="153" t="str">
        <f t="shared" si="213"/>
        <v>Vetch</v>
      </c>
      <c r="AE737" s="26" t="s">
        <v>300</v>
      </c>
      <c r="AG737" s="26" t="s">
        <v>1391</v>
      </c>
      <c r="AH737" s="26" t="s">
        <v>1391</v>
      </c>
      <c r="AI737" s="26" t="s">
        <v>230</v>
      </c>
      <c r="AJ737" s="26" t="s">
        <v>601</v>
      </c>
      <c r="AK737" s="26" t="s">
        <v>550</v>
      </c>
      <c r="AL737" s="26" t="s">
        <v>618</v>
      </c>
      <c r="AM737" s="26" t="s">
        <v>600</v>
      </c>
      <c r="AN737" s="26" t="s">
        <v>600</v>
      </c>
      <c r="AO737" s="26" t="s">
        <v>618</v>
      </c>
      <c r="AP737" s="26" t="s">
        <v>208</v>
      </c>
      <c r="AQ737" s="26">
        <v>3</v>
      </c>
      <c r="AR737" s="26">
        <v>3</v>
      </c>
      <c r="AS737" s="26" t="s">
        <v>599</v>
      </c>
      <c r="AW737" s="63"/>
      <c r="DS737" s="26">
        <f>(5.99+29+17.85+7)/4</f>
        <v>14.96</v>
      </c>
      <c r="DT737" s="26">
        <f>(5.5+25.83+16.22+9.47)/4</f>
        <v>14.254999999999999</v>
      </c>
      <c r="DU737" s="26" t="s">
        <v>607</v>
      </c>
      <c r="EH737" s="26">
        <f>326*0.61/29</f>
        <v>6.8572413793103442</v>
      </c>
      <c r="EI737" s="26">
        <f>178*0.61/29</f>
        <v>3.7441379310344827</v>
      </c>
      <c r="EJ737" s="26" t="s">
        <v>602</v>
      </c>
      <c r="FA737" s="26" t="s">
        <v>867</v>
      </c>
      <c r="FC737" s="26">
        <v>35</v>
      </c>
    </row>
    <row r="738" spans="1:159" s="26" customFormat="1" x14ac:dyDescent="0.25">
      <c r="A738" s="26">
        <v>35</v>
      </c>
      <c r="B738" s="26" t="s">
        <v>594</v>
      </c>
      <c r="C738" s="26" t="s">
        <v>595</v>
      </c>
      <c r="D738" s="26">
        <v>2011</v>
      </c>
      <c r="E738" s="26">
        <v>2006</v>
      </c>
      <c r="F738" s="26" t="s">
        <v>162</v>
      </c>
      <c r="G738" s="26" t="s">
        <v>596</v>
      </c>
      <c r="H738" s="26">
        <f t="shared" si="214"/>
        <v>38.533333333333331</v>
      </c>
      <c r="I738" s="26">
        <f t="shared" si="215"/>
        <v>-121.86666666666666</v>
      </c>
      <c r="J738" s="26">
        <v>27.1</v>
      </c>
      <c r="O738" s="26" t="s">
        <v>597</v>
      </c>
      <c r="P738" s="52" t="s">
        <v>179</v>
      </c>
      <c r="Q738" s="52"/>
      <c r="R738" s="52" t="s">
        <v>604</v>
      </c>
      <c r="S738" s="52" t="s">
        <v>1647</v>
      </c>
      <c r="T738" s="52" t="s">
        <v>1647</v>
      </c>
      <c r="X738" s="26" t="s">
        <v>598</v>
      </c>
      <c r="AB738" s="26" t="s">
        <v>1569</v>
      </c>
      <c r="AC738" s="26" t="s">
        <v>301</v>
      </c>
      <c r="AD738" s="153" t="str">
        <f t="shared" si="213"/>
        <v>Vetch</v>
      </c>
      <c r="AE738" s="26" t="s">
        <v>300</v>
      </c>
      <c r="AG738" s="26" t="s">
        <v>1391</v>
      </c>
      <c r="AH738" s="26" t="s">
        <v>1391</v>
      </c>
      <c r="AI738" s="26" t="s">
        <v>230</v>
      </c>
      <c r="AJ738" s="26" t="s">
        <v>601</v>
      </c>
      <c r="AK738" s="26" t="s">
        <v>550</v>
      </c>
      <c r="AL738" s="26" t="s">
        <v>618</v>
      </c>
      <c r="AM738" s="26" t="s">
        <v>600</v>
      </c>
      <c r="AN738" s="26" t="s">
        <v>600</v>
      </c>
      <c r="AO738" s="26" t="s">
        <v>618</v>
      </c>
      <c r="AP738" s="26" t="s">
        <v>208</v>
      </c>
      <c r="AQ738" s="26">
        <v>3</v>
      </c>
      <c r="AR738" s="26">
        <v>3</v>
      </c>
      <c r="AS738" s="26" t="s">
        <v>599</v>
      </c>
      <c r="AW738" s="63"/>
      <c r="DS738" s="26">
        <f>(5.99+29+17.85+7)/4</f>
        <v>14.96</v>
      </c>
      <c r="DT738" s="26">
        <f>(6.07+26.97+16.55+9.63)/4</f>
        <v>14.805000000000001</v>
      </c>
      <c r="DU738" s="26" t="s">
        <v>607</v>
      </c>
      <c r="EH738" s="26">
        <f>237*0.61/69</f>
        <v>2.0952173913043479</v>
      </c>
      <c r="EI738" s="26">
        <f>328*0.61/69</f>
        <v>2.899710144927536</v>
      </c>
      <c r="EJ738" s="26" t="s">
        <v>602</v>
      </c>
      <c r="FA738" s="26" t="s">
        <v>867</v>
      </c>
      <c r="FC738" s="26">
        <v>35</v>
      </c>
    </row>
    <row r="739" spans="1:159" s="26" customFormat="1" x14ac:dyDescent="0.25">
      <c r="A739" s="26">
        <v>35</v>
      </c>
      <c r="B739" s="26" t="s">
        <v>594</v>
      </c>
      <c r="C739" s="26" t="s">
        <v>595</v>
      </c>
      <c r="D739" s="26">
        <v>2011</v>
      </c>
      <c r="E739" s="26">
        <v>2006</v>
      </c>
      <c r="F739" s="26" t="s">
        <v>162</v>
      </c>
      <c r="G739" s="26" t="s">
        <v>596</v>
      </c>
      <c r="H739" s="26">
        <f t="shared" si="214"/>
        <v>38.533333333333331</v>
      </c>
      <c r="I739" s="26">
        <f t="shared" si="215"/>
        <v>-121.86666666666666</v>
      </c>
      <c r="J739" s="26">
        <v>27.1</v>
      </c>
      <c r="O739" s="26" t="s">
        <v>597</v>
      </c>
      <c r="P739" s="52" t="s">
        <v>179</v>
      </c>
      <c r="Q739" s="52"/>
      <c r="R739" s="52" t="s">
        <v>605</v>
      </c>
      <c r="S739" s="52" t="s">
        <v>1647</v>
      </c>
      <c r="T739" s="52" t="s">
        <v>1647</v>
      </c>
      <c r="X739" s="26" t="s">
        <v>598</v>
      </c>
      <c r="AB739" s="26" t="s">
        <v>1569</v>
      </c>
      <c r="AC739" s="26" t="s">
        <v>301</v>
      </c>
      <c r="AD739" s="153" t="str">
        <f t="shared" si="213"/>
        <v>Vetch</v>
      </c>
      <c r="AE739" s="26" t="s">
        <v>300</v>
      </c>
      <c r="AG739" s="26" t="s">
        <v>1391</v>
      </c>
      <c r="AH739" s="26" t="s">
        <v>1391</v>
      </c>
      <c r="AI739" s="26" t="s">
        <v>230</v>
      </c>
      <c r="AJ739" s="26" t="s">
        <v>601</v>
      </c>
      <c r="AK739" s="26" t="s">
        <v>550</v>
      </c>
      <c r="AL739" s="26" t="s">
        <v>618</v>
      </c>
      <c r="AM739" s="26" t="s">
        <v>600</v>
      </c>
      <c r="AN739" s="26" t="s">
        <v>600</v>
      </c>
      <c r="AO739" s="26" t="s">
        <v>618</v>
      </c>
      <c r="AP739" s="26" t="s">
        <v>208</v>
      </c>
      <c r="AQ739" s="26">
        <v>3</v>
      </c>
      <c r="AR739" s="26">
        <v>3</v>
      </c>
      <c r="AS739" s="26" t="s">
        <v>599</v>
      </c>
      <c r="AW739" s="63"/>
      <c r="DS739" s="26">
        <f>(6.64+26.81+18.02+6.37)/4</f>
        <v>14.459999999999999</v>
      </c>
      <c r="DT739" s="26">
        <f>(6.64+25.18+17.86+6.13)/4</f>
        <v>13.952500000000001</v>
      </c>
      <c r="DU739" s="26" t="s">
        <v>608</v>
      </c>
      <c r="EH739" s="26">
        <f>278*0.61/100</f>
        <v>1.6957999999999998</v>
      </c>
      <c r="EI739" s="26">
        <f>354*0.61/100</f>
        <v>2.1593999999999998</v>
      </c>
      <c r="EJ739" s="26" t="s">
        <v>602</v>
      </c>
      <c r="FA739" s="26" t="s">
        <v>867</v>
      </c>
      <c r="FC739" s="26">
        <v>35</v>
      </c>
    </row>
    <row r="740" spans="1:159" s="26" customFormat="1" x14ac:dyDescent="0.25">
      <c r="A740" s="26">
        <v>35</v>
      </c>
      <c r="B740" s="26" t="s">
        <v>594</v>
      </c>
      <c r="C740" s="26" t="s">
        <v>595</v>
      </c>
      <c r="D740" s="26">
        <v>2011</v>
      </c>
      <c r="E740" s="26">
        <v>2006</v>
      </c>
      <c r="F740" s="26" t="s">
        <v>162</v>
      </c>
      <c r="G740" s="26" t="s">
        <v>596</v>
      </c>
      <c r="H740" s="26">
        <f t="shared" si="214"/>
        <v>38.533333333333331</v>
      </c>
      <c r="I740" s="26">
        <f t="shared" si="215"/>
        <v>-121.86666666666666</v>
      </c>
      <c r="J740" s="26">
        <v>27.1</v>
      </c>
      <c r="O740" s="26" t="s">
        <v>597</v>
      </c>
      <c r="P740" s="52" t="s">
        <v>179</v>
      </c>
      <c r="Q740" s="52"/>
      <c r="R740" s="52" t="s">
        <v>606</v>
      </c>
      <c r="S740" s="52" t="s">
        <v>1647</v>
      </c>
      <c r="T740" s="52" t="s">
        <v>1647</v>
      </c>
      <c r="X740" s="26" t="s">
        <v>598</v>
      </c>
      <c r="AB740" s="26" t="s">
        <v>1569</v>
      </c>
      <c r="AC740" s="26" t="s">
        <v>301</v>
      </c>
      <c r="AD740" s="153" t="str">
        <f t="shared" si="213"/>
        <v>Vetch</v>
      </c>
      <c r="AE740" s="26" t="s">
        <v>300</v>
      </c>
      <c r="AG740" s="26" t="s">
        <v>1391</v>
      </c>
      <c r="AH740" s="26" t="s">
        <v>1391</v>
      </c>
      <c r="AI740" s="26" t="s">
        <v>230</v>
      </c>
      <c r="AJ740" s="26" t="s">
        <v>601</v>
      </c>
      <c r="AK740" s="26" t="s">
        <v>550</v>
      </c>
      <c r="AL740" s="26" t="s">
        <v>618</v>
      </c>
      <c r="AM740" s="26" t="s">
        <v>600</v>
      </c>
      <c r="AN740" s="26" t="s">
        <v>600</v>
      </c>
      <c r="AO740" s="26" t="s">
        <v>618</v>
      </c>
      <c r="AP740" s="26" t="s">
        <v>208</v>
      </c>
      <c r="AQ740" s="26">
        <v>3</v>
      </c>
      <c r="AR740" s="26">
        <v>3</v>
      </c>
      <c r="AS740" s="26" t="s">
        <v>599</v>
      </c>
      <c r="AW740" s="63"/>
      <c r="DS740" s="26">
        <f>(6.64+26.81+18.02+6.37)/4</f>
        <v>14.459999999999999</v>
      </c>
      <c r="DT740" s="26">
        <f>(6.4+25.51+18.91+6.94)/4</f>
        <v>14.440000000000001</v>
      </c>
      <c r="DU740" s="26" t="s">
        <v>608</v>
      </c>
      <c r="EH740" s="26">
        <f>154*0.61/134</f>
        <v>0.70104477611940297</v>
      </c>
      <c r="EI740" s="26">
        <f>238*0.61/134</f>
        <v>1.0834328358208956</v>
      </c>
      <c r="EJ740" s="26" t="s">
        <v>602</v>
      </c>
      <c r="FA740" s="26" t="s">
        <v>867</v>
      </c>
      <c r="FC740" s="26">
        <v>35</v>
      </c>
    </row>
    <row r="741" spans="1:159" s="35" customFormat="1" x14ac:dyDescent="0.25">
      <c r="A741" s="35">
        <v>35</v>
      </c>
      <c r="B741" s="35" t="s">
        <v>594</v>
      </c>
      <c r="C741" s="35" t="s">
        <v>595</v>
      </c>
      <c r="D741" s="35">
        <v>2011</v>
      </c>
      <c r="E741" s="35">
        <v>2006</v>
      </c>
      <c r="F741" s="35" t="s">
        <v>162</v>
      </c>
      <c r="G741" s="35" t="s">
        <v>596</v>
      </c>
      <c r="H741" s="35">
        <f t="shared" si="214"/>
        <v>38.533333333333331</v>
      </c>
      <c r="I741" s="35">
        <f t="shared" si="215"/>
        <v>-121.86666666666666</v>
      </c>
      <c r="J741" s="35">
        <v>27.1</v>
      </c>
      <c r="O741" s="35" t="s">
        <v>597</v>
      </c>
      <c r="P741" s="54" t="s">
        <v>179</v>
      </c>
      <c r="Q741" s="54"/>
      <c r="R741" s="54" t="s">
        <v>467</v>
      </c>
      <c r="S741" s="54" t="s">
        <v>1647</v>
      </c>
      <c r="T741" s="54" t="s">
        <v>1647</v>
      </c>
      <c r="X741" s="35" t="s">
        <v>598</v>
      </c>
      <c r="AB741" s="35" t="s">
        <v>1569</v>
      </c>
      <c r="AC741" s="35" t="s">
        <v>301</v>
      </c>
      <c r="AD741" s="153" t="str">
        <f t="shared" si="213"/>
        <v>Vetch</v>
      </c>
      <c r="AE741" s="35" t="s">
        <v>300</v>
      </c>
      <c r="AG741" s="35" t="s">
        <v>1391</v>
      </c>
      <c r="AH741" s="35" t="s">
        <v>1391</v>
      </c>
      <c r="AI741" s="35" t="s">
        <v>230</v>
      </c>
      <c r="AJ741" s="35" t="s">
        <v>601</v>
      </c>
      <c r="AK741" s="35" t="s">
        <v>550</v>
      </c>
      <c r="AL741" s="35" t="s">
        <v>618</v>
      </c>
      <c r="AM741" s="35" t="s">
        <v>600</v>
      </c>
      <c r="AN741" s="35" t="s">
        <v>603</v>
      </c>
      <c r="AO741" s="35" t="s">
        <v>618</v>
      </c>
      <c r="AP741" s="35" t="s">
        <v>208</v>
      </c>
      <c r="AQ741" s="35">
        <v>3</v>
      </c>
      <c r="AR741" s="35">
        <v>3</v>
      </c>
      <c r="AS741" s="35" t="s">
        <v>599</v>
      </c>
      <c r="AW741" s="63"/>
      <c r="DS741" s="12"/>
      <c r="DU741" s="15"/>
      <c r="EH741" s="35">
        <f>326*0.61/29</f>
        <v>6.8572413793103442</v>
      </c>
      <c r="EI741" s="35">
        <f>194*0.61/29</f>
        <v>4.0806896551724137</v>
      </c>
      <c r="EJ741" s="35" t="s">
        <v>602</v>
      </c>
      <c r="FA741" s="35" t="s">
        <v>867</v>
      </c>
      <c r="FC741" s="35">
        <v>35</v>
      </c>
    </row>
    <row r="742" spans="1:159" s="35" customFormat="1" x14ac:dyDescent="0.25">
      <c r="A742" s="35">
        <v>35</v>
      </c>
      <c r="B742" s="35" t="s">
        <v>594</v>
      </c>
      <c r="C742" s="35" t="s">
        <v>595</v>
      </c>
      <c r="D742" s="35">
        <v>2011</v>
      </c>
      <c r="E742" s="35">
        <v>2006</v>
      </c>
      <c r="F742" s="35" t="s">
        <v>162</v>
      </c>
      <c r="G742" s="35" t="s">
        <v>596</v>
      </c>
      <c r="H742" s="35">
        <f t="shared" si="214"/>
        <v>38.533333333333331</v>
      </c>
      <c r="I742" s="35">
        <f t="shared" si="215"/>
        <v>-121.86666666666666</v>
      </c>
      <c r="J742" s="35">
        <v>27.1</v>
      </c>
      <c r="O742" s="35" t="s">
        <v>597</v>
      </c>
      <c r="P742" s="54" t="s">
        <v>179</v>
      </c>
      <c r="Q742" s="54"/>
      <c r="R742" s="54" t="s">
        <v>604</v>
      </c>
      <c r="S742" s="54" t="s">
        <v>1647</v>
      </c>
      <c r="T742" s="54" t="s">
        <v>1647</v>
      </c>
      <c r="X742" s="35" t="s">
        <v>598</v>
      </c>
      <c r="AB742" s="35" t="s">
        <v>1569</v>
      </c>
      <c r="AC742" s="35" t="s">
        <v>301</v>
      </c>
      <c r="AD742" s="153" t="str">
        <f t="shared" si="213"/>
        <v>Vetch</v>
      </c>
      <c r="AE742" s="35" t="s">
        <v>300</v>
      </c>
      <c r="AG742" s="35" t="s">
        <v>1391</v>
      </c>
      <c r="AH742" s="35" t="s">
        <v>1391</v>
      </c>
      <c r="AI742" s="35" t="s">
        <v>230</v>
      </c>
      <c r="AJ742" s="35" t="s">
        <v>601</v>
      </c>
      <c r="AK742" s="35" t="s">
        <v>550</v>
      </c>
      <c r="AL742" s="35" t="s">
        <v>618</v>
      </c>
      <c r="AM742" s="35" t="s">
        <v>600</v>
      </c>
      <c r="AN742" s="35" t="s">
        <v>603</v>
      </c>
      <c r="AO742" s="35" t="s">
        <v>618</v>
      </c>
      <c r="AP742" s="35" t="s">
        <v>208</v>
      </c>
      <c r="AQ742" s="35">
        <v>3</v>
      </c>
      <c r="AR742" s="35">
        <v>3</v>
      </c>
      <c r="AS742" s="35" t="s">
        <v>599</v>
      </c>
      <c r="AW742" s="63"/>
      <c r="DS742" s="12"/>
      <c r="DU742" s="15"/>
      <c r="EH742" s="35">
        <f>237*0.61/69</f>
        <v>2.0952173913043479</v>
      </c>
      <c r="EI742" s="35">
        <f>163*0.61/69</f>
        <v>1.441014492753623</v>
      </c>
      <c r="EJ742" s="35" t="s">
        <v>602</v>
      </c>
      <c r="FA742" s="35" t="s">
        <v>867</v>
      </c>
      <c r="FC742" s="35">
        <v>35</v>
      </c>
    </row>
    <row r="743" spans="1:159" s="35" customFormat="1" x14ac:dyDescent="0.25">
      <c r="A743" s="35">
        <v>35</v>
      </c>
      <c r="B743" s="35" t="s">
        <v>594</v>
      </c>
      <c r="C743" s="35" t="s">
        <v>595</v>
      </c>
      <c r="D743" s="35">
        <v>2011</v>
      </c>
      <c r="E743" s="35">
        <v>2006</v>
      </c>
      <c r="F743" s="35" t="s">
        <v>162</v>
      </c>
      <c r="G743" s="35" t="s">
        <v>596</v>
      </c>
      <c r="H743" s="35">
        <f t="shared" si="214"/>
        <v>38.533333333333331</v>
      </c>
      <c r="I743" s="35">
        <f t="shared" si="215"/>
        <v>-121.86666666666666</v>
      </c>
      <c r="J743" s="35">
        <v>27.1</v>
      </c>
      <c r="O743" s="35" t="s">
        <v>597</v>
      </c>
      <c r="P743" s="54" t="s">
        <v>179</v>
      </c>
      <c r="Q743" s="54"/>
      <c r="R743" s="54" t="s">
        <v>605</v>
      </c>
      <c r="S743" s="54" t="s">
        <v>1647</v>
      </c>
      <c r="T743" s="54" t="s">
        <v>1647</v>
      </c>
      <c r="X743" s="35" t="s">
        <v>598</v>
      </c>
      <c r="AB743" s="35" t="s">
        <v>1569</v>
      </c>
      <c r="AC743" s="35" t="s">
        <v>301</v>
      </c>
      <c r="AD743" s="153" t="str">
        <f t="shared" si="213"/>
        <v>Vetch</v>
      </c>
      <c r="AE743" s="35" t="s">
        <v>300</v>
      </c>
      <c r="AG743" s="35" t="s">
        <v>1391</v>
      </c>
      <c r="AH743" s="35" t="s">
        <v>1391</v>
      </c>
      <c r="AI743" s="35" t="s">
        <v>230</v>
      </c>
      <c r="AJ743" s="35" t="s">
        <v>601</v>
      </c>
      <c r="AK743" s="35" t="s">
        <v>550</v>
      </c>
      <c r="AL743" s="35" t="s">
        <v>618</v>
      </c>
      <c r="AM743" s="35" t="s">
        <v>600</v>
      </c>
      <c r="AN743" s="35" t="s">
        <v>603</v>
      </c>
      <c r="AO743" s="35" t="s">
        <v>618</v>
      </c>
      <c r="AP743" s="35" t="s">
        <v>208</v>
      </c>
      <c r="AQ743" s="35">
        <v>3</v>
      </c>
      <c r="AR743" s="35">
        <v>3</v>
      </c>
      <c r="AS743" s="35" t="s">
        <v>599</v>
      </c>
      <c r="AW743" s="63"/>
      <c r="DS743" s="12"/>
      <c r="DU743" s="15"/>
      <c r="FA743" s="35" t="s">
        <v>867</v>
      </c>
      <c r="FC743" s="35">
        <v>35</v>
      </c>
    </row>
    <row r="744" spans="1:159" s="35" customFormat="1" x14ac:dyDescent="0.25">
      <c r="A744" s="35">
        <v>35</v>
      </c>
      <c r="B744" s="35" t="s">
        <v>594</v>
      </c>
      <c r="C744" s="35" t="s">
        <v>595</v>
      </c>
      <c r="D744" s="35">
        <v>2011</v>
      </c>
      <c r="E744" s="35">
        <v>2006</v>
      </c>
      <c r="F744" s="35" t="s">
        <v>162</v>
      </c>
      <c r="G744" s="35" t="s">
        <v>596</v>
      </c>
      <c r="H744" s="35">
        <f t="shared" si="214"/>
        <v>38.533333333333331</v>
      </c>
      <c r="I744" s="35">
        <f t="shared" si="215"/>
        <v>-121.86666666666666</v>
      </c>
      <c r="J744" s="35">
        <v>27.1</v>
      </c>
      <c r="O744" s="35" t="s">
        <v>597</v>
      </c>
      <c r="P744" s="54" t="s">
        <v>179</v>
      </c>
      <c r="Q744" s="54"/>
      <c r="R744" s="54" t="s">
        <v>606</v>
      </c>
      <c r="S744" s="54" t="s">
        <v>1647</v>
      </c>
      <c r="T744" s="54" t="s">
        <v>1647</v>
      </c>
      <c r="X744" s="35" t="s">
        <v>598</v>
      </c>
      <c r="AB744" s="35" t="s">
        <v>1569</v>
      </c>
      <c r="AC744" s="35" t="s">
        <v>301</v>
      </c>
      <c r="AD744" s="153" t="str">
        <f t="shared" si="213"/>
        <v>Vetch</v>
      </c>
      <c r="AE744" s="35" t="s">
        <v>300</v>
      </c>
      <c r="AG744" s="35" t="s">
        <v>1391</v>
      </c>
      <c r="AH744" s="35" t="s">
        <v>1391</v>
      </c>
      <c r="AI744" s="35" t="s">
        <v>230</v>
      </c>
      <c r="AJ744" s="35" t="s">
        <v>601</v>
      </c>
      <c r="AK744" s="35" t="s">
        <v>550</v>
      </c>
      <c r="AL744" s="35" t="s">
        <v>618</v>
      </c>
      <c r="AM744" s="35" t="s">
        <v>600</v>
      </c>
      <c r="AN744" s="35" t="s">
        <v>603</v>
      </c>
      <c r="AO744" s="35" t="s">
        <v>618</v>
      </c>
      <c r="AP744" s="35" t="s">
        <v>208</v>
      </c>
      <c r="AQ744" s="35">
        <v>3</v>
      </c>
      <c r="AR744" s="35">
        <v>3</v>
      </c>
      <c r="AS744" s="35" t="s">
        <v>599</v>
      </c>
      <c r="AW744" s="63"/>
      <c r="DS744" s="12"/>
      <c r="DU744" s="15"/>
      <c r="EH744" s="35">
        <f>154*0.61/134</f>
        <v>0.70104477611940297</v>
      </c>
      <c r="EI744" s="35">
        <f>401*0.61/134</f>
        <v>1.8254477611940298</v>
      </c>
      <c r="EJ744" s="35" t="s">
        <v>602</v>
      </c>
      <c r="FA744" s="35" t="s">
        <v>867</v>
      </c>
      <c r="FC744" s="35">
        <v>35</v>
      </c>
    </row>
    <row r="745" spans="1:159" s="5" customFormat="1" x14ac:dyDescent="0.25">
      <c r="A745" s="5">
        <v>36</v>
      </c>
      <c r="B745" s="5" t="s">
        <v>609</v>
      </c>
      <c r="C745" s="5" t="s">
        <v>610</v>
      </c>
      <c r="D745" s="5">
        <v>1992</v>
      </c>
      <c r="E745" s="5">
        <v>1982</v>
      </c>
      <c r="F745" s="5" t="s">
        <v>611</v>
      </c>
      <c r="G745" s="5" t="s">
        <v>612</v>
      </c>
      <c r="H745" s="5">
        <f t="shared" ref="H745:H750" si="216">33+54/60</f>
        <v>33.9</v>
      </c>
      <c r="I745" s="5">
        <f t="shared" ref="I745:I750" si="217">-83-24/60</f>
        <v>-83.4</v>
      </c>
      <c r="J745" s="5">
        <v>185.5</v>
      </c>
      <c r="P745" s="62" t="s">
        <v>181</v>
      </c>
      <c r="Q745" s="62"/>
      <c r="R745" s="62"/>
      <c r="S745" s="62" t="s">
        <v>1652</v>
      </c>
      <c r="T745" s="62" t="s">
        <v>1652</v>
      </c>
      <c r="X745" s="5" t="s">
        <v>268</v>
      </c>
      <c r="AB745" s="5" t="s">
        <v>1570</v>
      </c>
      <c r="AC745" s="5" t="s">
        <v>1805</v>
      </c>
      <c r="AD745" s="153" t="str">
        <f t="shared" si="213"/>
        <v>Crimson_clover</v>
      </c>
      <c r="AE745" s="5" t="s">
        <v>277</v>
      </c>
      <c r="AJ745" s="5" t="s">
        <v>601</v>
      </c>
      <c r="AK745" s="5" t="s">
        <v>613</v>
      </c>
      <c r="AL745" s="5" t="s">
        <v>618</v>
      </c>
      <c r="AM745" s="5" t="s">
        <v>614</v>
      </c>
      <c r="AN745" s="5" t="s">
        <v>407</v>
      </c>
      <c r="AO745" s="5" t="s">
        <v>618</v>
      </c>
      <c r="AP745" s="5" t="s">
        <v>154</v>
      </c>
      <c r="AQ745" s="5">
        <v>3</v>
      </c>
      <c r="AR745" s="5">
        <v>3</v>
      </c>
      <c r="AS745" s="5" t="s">
        <v>404</v>
      </c>
      <c r="AW745" s="64"/>
      <c r="AX745" s="5" t="s">
        <v>620</v>
      </c>
      <c r="BB745" s="5">
        <f>13.1*1000/5</f>
        <v>2620</v>
      </c>
      <c r="BC745" s="5">
        <f>15.3*1000/5</f>
        <v>3060</v>
      </c>
      <c r="BD745" s="5" t="s">
        <v>626</v>
      </c>
      <c r="BH745" s="5">
        <v>0.64</v>
      </c>
      <c r="BI745" s="5">
        <v>1.81</v>
      </c>
      <c r="BK745" s="5">
        <f>0.05*10000</f>
        <v>500</v>
      </c>
      <c r="BL745" s="5">
        <v>1500</v>
      </c>
      <c r="BM745" s="5" t="s">
        <v>629</v>
      </c>
      <c r="CF745" s="5">
        <f>0.41*1000</f>
        <v>410</v>
      </c>
      <c r="CG745" s="5">
        <f>0.86*1000</f>
        <v>860</v>
      </c>
      <c r="CH745" s="5" t="s">
        <v>630</v>
      </c>
      <c r="CX745" s="5">
        <v>37</v>
      </c>
      <c r="CY745" s="5">
        <v>6</v>
      </c>
      <c r="CZ745" s="5" t="s">
        <v>631</v>
      </c>
      <c r="DS745" s="12"/>
      <c r="DU745" s="15"/>
      <c r="FA745" s="5" t="s">
        <v>868</v>
      </c>
      <c r="FC745" s="5">
        <v>36</v>
      </c>
    </row>
    <row r="746" spans="1:159" s="38" customFormat="1" x14ac:dyDescent="0.25">
      <c r="A746" s="38">
        <v>36</v>
      </c>
      <c r="B746" s="38" t="s">
        <v>609</v>
      </c>
      <c r="C746" s="38" t="s">
        <v>610</v>
      </c>
      <c r="D746" s="38">
        <v>1992</v>
      </c>
      <c r="E746" s="38">
        <v>1982</v>
      </c>
      <c r="F746" s="38" t="s">
        <v>611</v>
      </c>
      <c r="G746" s="38" t="s">
        <v>612</v>
      </c>
      <c r="H746" s="38">
        <f t="shared" si="216"/>
        <v>33.9</v>
      </c>
      <c r="I746" s="38">
        <f t="shared" si="217"/>
        <v>-83.4</v>
      </c>
      <c r="J746" s="38">
        <v>185.5</v>
      </c>
      <c r="P746" s="57" t="s">
        <v>181</v>
      </c>
      <c r="Q746" s="57"/>
      <c r="R746" s="57"/>
      <c r="S746" s="57" t="s">
        <v>1652</v>
      </c>
      <c r="T746" s="57" t="s">
        <v>1652</v>
      </c>
      <c r="X746" s="38" t="s">
        <v>268</v>
      </c>
      <c r="AB746" s="38" t="s">
        <v>1570</v>
      </c>
      <c r="AC746" s="38" t="s">
        <v>1805</v>
      </c>
      <c r="AD746" s="153" t="str">
        <f t="shared" si="213"/>
        <v>Crimson_clover</v>
      </c>
      <c r="AE746" s="38" t="s">
        <v>277</v>
      </c>
      <c r="AJ746" s="38" t="s">
        <v>601</v>
      </c>
      <c r="AK746" s="38" t="s">
        <v>613</v>
      </c>
      <c r="AL746" s="38" t="s">
        <v>618</v>
      </c>
      <c r="AM746" s="38" t="s">
        <v>614</v>
      </c>
      <c r="AN746" s="38" t="s">
        <v>407</v>
      </c>
      <c r="AO746" s="38" t="s">
        <v>618</v>
      </c>
      <c r="AP746" s="38" t="s">
        <v>154</v>
      </c>
      <c r="AQ746" s="38">
        <v>3</v>
      </c>
      <c r="AR746" s="38">
        <v>3</v>
      </c>
      <c r="AS746" s="38" t="s">
        <v>404</v>
      </c>
      <c r="AW746" s="64"/>
      <c r="AX746" s="38" t="s">
        <v>621</v>
      </c>
      <c r="BB746" s="38">
        <f>18.4*1000/5</f>
        <v>3680</v>
      </c>
      <c r="BC746" s="38">
        <f>24.7*1000/5</f>
        <v>4940</v>
      </c>
      <c r="BD746" s="38" t="s">
        <v>627</v>
      </c>
      <c r="BH746" s="38">
        <v>1.3</v>
      </c>
      <c r="BI746" s="38">
        <v>2.25</v>
      </c>
      <c r="BK746" s="38">
        <v>900</v>
      </c>
      <c r="BL746" s="38">
        <v>1700</v>
      </c>
      <c r="BM746" s="38" t="s">
        <v>629</v>
      </c>
      <c r="CF746" s="38">
        <f>0.5*1000</f>
        <v>500</v>
      </c>
      <c r="CG746" s="38">
        <f>0.86*1000</f>
        <v>860</v>
      </c>
      <c r="CH746" s="38" t="s">
        <v>630</v>
      </c>
      <c r="CX746" s="38">
        <v>35</v>
      </c>
      <c r="CY746" s="38">
        <v>6</v>
      </c>
      <c r="CZ746" s="38" t="s">
        <v>631</v>
      </c>
      <c r="DS746" s="12"/>
      <c r="DU746" s="15"/>
      <c r="FA746" s="5" t="s">
        <v>868</v>
      </c>
      <c r="FC746" s="38">
        <v>36</v>
      </c>
    </row>
    <row r="747" spans="1:159" s="31" customFormat="1" x14ac:dyDescent="0.25">
      <c r="A747" s="31">
        <v>36</v>
      </c>
      <c r="B747" s="31" t="s">
        <v>609</v>
      </c>
      <c r="C747" s="31" t="s">
        <v>610</v>
      </c>
      <c r="D747" s="31">
        <v>1992</v>
      </c>
      <c r="E747" s="31">
        <v>1982</v>
      </c>
      <c r="F747" s="31" t="s">
        <v>611</v>
      </c>
      <c r="G747" s="31" t="s">
        <v>612</v>
      </c>
      <c r="H747" s="31">
        <f t="shared" si="216"/>
        <v>33.9</v>
      </c>
      <c r="I747" s="31">
        <f t="shared" si="217"/>
        <v>-83.4</v>
      </c>
      <c r="J747" s="31">
        <v>185.5</v>
      </c>
      <c r="P747" s="56" t="s">
        <v>181</v>
      </c>
      <c r="Q747" s="56"/>
      <c r="R747" s="56"/>
      <c r="S747" s="56" t="s">
        <v>1652</v>
      </c>
      <c r="T747" s="56" t="s">
        <v>1652</v>
      </c>
      <c r="X747" s="31" t="s">
        <v>268</v>
      </c>
      <c r="AB747" s="31" t="s">
        <v>1570</v>
      </c>
      <c r="AC747" s="31" t="s">
        <v>1805</v>
      </c>
      <c r="AD747" s="153" t="str">
        <f t="shared" si="213"/>
        <v>Crimson_clover</v>
      </c>
      <c r="AE747" s="31" t="s">
        <v>277</v>
      </c>
      <c r="AJ747" s="31" t="s">
        <v>601</v>
      </c>
      <c r="AK747" s="31" t="s">
        <v>613</v>
      </c>
      <c r="AL747" s="31" t="s">
        <v>618</v>
      </c>
      <c r="AM747" s="31" t="s">
        <v>614</v>
      </c>
      <c r="AN747" s="31" t="s">
        <v>407</v>
      </c>
      <c r="AO747" s="31" t="s">
        <v>618</v>
      </c>
      <c r="AP747" s="31" t="s">
        <v>154</v>
      </c>
      <c r="AQ747" s="31">
        <v>3</v>
      </c>
      <c r="AR747" s="31">
        <v>3</v>
      </c>
      <c r="AS747" s="31" t="s">
        <v>404</v>
      </c>
      <c r="AX747" s="31" t="s">
        <v>622</v>
      </c>
      <c r="BB747" s="31">
        <f>16.1*1000/5</f>
        <v>3220.0000000000005</v>
      </c>
      <c r="BC747" s="31">
        <f>15.4*1000/5</f>
        <v>3080</v>
      </c>
      <c r="BD747" s="31" t="s">
        <v>628</v>
      </c>
      <c r="BH747" s="31">
        <v>1.17</v>
      </c>
      <c r="BI747" s="31">
        <v>2.86</v>
      </c>
      <c r="BK747" s="31">
        <v>900</v>
      </c>
      <c r="BL747" s="31">
        <v>2200</v>
      </c>
      <c r="BM747" s="31" t="s">
        <v>629</v>
      </c>
      <c r="CF747" s="31">
        <f>0.59*1000</f>
        <v>590</v>
      </c>
      <c r="CG747" s="31">
        <f>0.88*1000</f>
        <v>880</v>
      </c>
      <c r="CH747" s="31" t="s">
        <v>630</v>
      </c>
      <c r="DS747" s="119"/>
      <c r="DU747" s="120"/>
      <c r="FA747" s="31" t="s">
        <v>868</v>
      </c>
      <c r="FC747" s="31">
        <v>36</v>
      </c>
    </row>
    <row r="748" spans="1:159" s="5" customFormat="1" x14ac:dyDescent="0.25">
      <c r="A748" s="5">
        <v>36</v>
      </c>
      <c r="B748" s="5" t="s">
        <v>609</v>
      </c>
      <c r="C748" s="5" t="s">
        <v>610</v>
      </c>
      <c r="D748" s="5">
        <v>1992</v>
      </c>
      <c r="E748" s="5">
        <v>1982</v>
      </c>
      <c r="F748" s="5" t="s">
        <v>611</v>
      </c>
      <c r="G748" s="5" t="s">
        <v>612</v>
      </c>
      <c r="H748" s="5">
        <f t="shared" si="216"/>
        <v>33.9</v>
      </c>
      <c r="I748" s="5">
        <f t="shared" si="217"/>
        <v>-83.4</v>
      </c>
      <c r="J748" s="5">
        <v>185.5</v>
      </c>
      <c r="P748" s="62" t="s">
        <v>181</v>
      </c>
      <c r="Q748" s="62"/>
      <c r="R748" s="62"/>
      <c r="S748" s="62" t="s">
        <v>1652</v>
      </c>
      <c r="T748" s="62" t="s">
        <v>1652</v>
      </c>
      <c r="X748" s="5" t="s">
        <v>268</v>
      </c>
      <c r="AB748" s="5" t="s">
        <v>1570</v>
      </c>
      <c r="AC748" s="5" t="s">
        <v>1805</v>
      </c>
      <c r="AD748" s="153" t="str">
        <f t="shared" si="213"/>
        <v>Crimson_clover</v>
      </c>
      <c r="AE748" s="5" t="s">
        <v>277</v>
      </c>
      <c r="AJ748" s="5" t="s">
        <v>601</v>
      </c>
      <c r="AK748" s="5" t="s">
        <v>613</v>
      </c>
      <c r="AL748" s="5" t="s">
        <v>618</v>
      </c>
      <c r="AM748" s="5" t="s">
        <v>615</v>
      </c>
      <c r="AN748" s="5" t="s">
        <v>616</v>
      </c>
      <c r="AO748" s="5" t="s">
        <v>618</v>
      </c>
      <c r="AP748" s="5" t="s">
        <v>154</v>
      </c>
      <c r="AQ748" s="5">
        <v>3</v>
      </c>
      <c r="AR748" s="5">
        <v>3</v>
      </c>
      <c r="AS748" s="5" t="s">
        <v>404</v>
      </c>
      <c r="AW748" s="64"/>
      <c r="AX748" s="5" t="s">
        <v>623</v>
      </c>
      <c r="BB748" s="5">
        <f>31.1*1000/5</f>
        <v>6220</v>
      </c>
      <c r="BC748" s="5">
        <f>29.9*1000/5</f>
        <v>5980</v>
      </c>
      <c r="BD748" s="5" t="s">
        <v>626</v>
      </c>
      <c r="BH748" s="5">
        <v>0.71</v>
      </c>
      <c r="BI748" s="5">
        <v>1.81</v>
      </c>
      <c r="BK748" s="5">
        <f>0.06*10000</f>
        <v>600</v>
      </c>
      <c r="BL748" s="5">
        <v>1400</v>
      </c>
      <c r="BM748" s="5" t="s">
        <v>629</v>
      </c>
      <c r="CF748" s="5">
        <f>0.59*1000</f>
        <v>590</v>
      </c>
      <c r="CG748" s="5">
        <f>0.88*1000</f>
        <v>880</v>
      </c>
      <c r="CH748" s="5" t="s">
        <v>630</v>
      </c>
      <c r="DS748" s="12"/>
      <c r="DU748" s="15"/>
      <c r="FA748" s="5" t="s">
        <v>868</v>
      </c>
      <c r="FC748" s="5">
        <v>36</v>
      </c>
    </row>
    <row r="749" spans="1:159" s="38" customFormat="1" x14ac:dyDescent="0.25">
      <c r="A749" s="38">
        <v>36</v>
      </c>
      <c r="B749" s="38" t="s">
        <v>609</v>
      </c>
      <c r="C749" s="38" t="s">
        <v>610</v>
      </c>
      <c r="D749" s="38">
        <v>1992</v>
      </c>
      <c r="E749" s="38">
        <v>1982</v>
      </c>
      <c r="F749" s="38" t="s">
        <v>611</v>
      </c>
      <c r="G749" s="38" t="s">
        <v>612</v>
      </c>
      <c r="H749" s="38">
        <f t="shared" si="216"/>
        <v>33.9</v>
      </c>
      <c r="I749" s="38">
        <f t="shared" si="217"/>
        <v>-83.4</v>
      </c>
      <c r="J749" s="38">
        <v>185.5</v>
      </c>
      <c r="P749" s="57" t="s">
        <v>181</v>
      </c>
      <c r="Q749" s="57"/>
      <c r="R749" s="57"/>
      <c r="S749" s="57" t="s">
        <v>1652</v>
      </c>
      <c r="T749" s="57" t="s">
        <v>1652</v>
      </c>
      <c r="X749" s="38" t="s">
        <v>268</v>
      </c>
      <c r="AB749" s="38" t="s">
        <v>1570</v>
      </c>
      <c r="AC749" s="38" t="s">
        <v>1805</v>
      </c>
      <c r="AD749" s="153" t="str">
        <f t="shared" si="213"/>
        <v>Crimson_clover</v>
      </c>
      <c r="AE749" s="38" t="s">
        <v>277</v>
      </c>
      <c r="AJ749" s="38" t="s">
        <v>601</v>
      </c>
      <c r="AK749" s="38" t="s">
        <v>613</v>
      </c>
      <c r="AL749" s="38" t="s">
        <v>618</v>
      </c>
      <c r="AM749" s="38" t="s">
        <v>615</v>
      </c>
      <c r="AN749" s="38" t="s">
        <v>616</v>
      </c>
      <c r="AO749" s="38" t="s">
        <v>618</v>
      </c>
      <c r="AP749" s="38" t="s">
        <v>154</v>
      </c>
      <c r="AQ749" s="38">
        <v>3</v>
      </c>
      <c r="AR749" s="38">
        <v>3</v>
      </c>
      <c r="AS749" s="38" t="s">
        <v>404</v>
      </c>
      <c r="AW749" s="64"/>
      <c r="AX749" s="38" t="s">
        <v>624</v>
      </c>
      <c r="BB749" s="38">
        <f>32.1*1000/5</f>
        <v>6420</v>
      </c>
      <c r="BC749" s="38">
        <f>32.8*1000/5</f>
        <v>6560</v>
      </c>
      <c r="BD749" s="38" t="s">
        <v>627</v>
      </c>
      <c r="BH749" s="38">
        <v>1.38</v>
      </c>
      <c r="BI749" s="38">
        <v>2.38</v>
      </c>
      <c r="BK749" s="38">
        <v>1100</v>
      </c>
      <c r="BL749" s="38">
        <v>1900</v>
      </c>
      <c r="BM749" s="38" t="s">
        <v>629</v>
      </c>
      <c r="CF749" s="38">
        <f>0.69*1000</f>
        <v>690</v>
      </c>
      <c r="CG749" s="38">
        <v>900</v>
      </c>
      <c r="CH749" s="38" t="s">
        <v>630</v>
      </c>
      <c r="DS749" s="12"/>
      <c r="DU749" s="15"/>
      <c r="FA749" s="5" t="s">
        <v>868</v>
      </c>
      <c r="FC749" s="38">
        <v>36</v>
      </c>
    </row>
    <row r="750" spans="1:159" s="31" customFormat="1" x14ac:dyDescent="0.25">
      <c r="A750" s="31">
        <v>36</v>
      </c>
      <c r="B750" s="31" t="s">
        <v>609</v>
      </c>
      <c r="C750" s="31" t="s">
        <v>610</v>
      </c>
      <c r="D750" s="31">
        <v>1992</v>
      </c>
      <c r="E750" s="31">
        <v>1982</v>
      </c>
      <c r="F750" s="31" t="s">
        <v>611</v>
      </c>
      <c r="G750" s="31" t="s">
        <v>612</v>
      </c>
      <c r="H750" s="31">
        <f t="shared" si="216"/>
        <v>33.9</v>
      </c>
      <c r="I750" s="31">
        <f t="shared" si="217"/>
        <v>-83.4</v>
      </c>
      <c r="J750" s="31">
        <v>185.5</v>
      </c>
      <c r="P750" s="56" t="s">
        <v>181</v>
      </c>
      <c r="Q750" s="56"/>
      <c r="R750" s="56"/>
      <c r="S750" s="56" t="s">
        <v>1652</v>
      </c>
      <c r="T750" s="56" t="s">
        <v>1652</v>
      </c>
      <c r="X750" s="31" t="s">
        <v>268</v>
      </c>
      <c r="AB750" s="31" t="s">
        <v>1570</v>
      </c>
      <c r="AC750" s="31" t="s">
        <v>1805</v>
      </c>
      <c r="AD750" s="153" t="str">
        <f t="shared" si="213"/>
        <v>Crimson_clover</v>
      </c>
      <c r="AE750" s="31" t="s">
        <v>277</v>
      </c>
      <c r="AJ750" s="31" t="s">
        <v>601</v>
      </c>
      <c r="AK750" s="31" t="s">
        <v>613</v>
      </c>
      <c r="AL750" s="31" t="s">
        <v>618</v>
      </c>
      <c r="AM750" s="31" t="s">
        <v>615</v>
      </c>
      <c r="AN750" s="31" t="s">
        <v>616</v>
      </c>
      <c r="AO750" s="31" t="s">
        <v>618</v>
      </c>
      <c r="AP750" s="31" t="s">
        <v>154</v>
      </c>
      <c r="AQ750" s="31">
        <v>3</v>
      </c>
      <c r="AR750" s="31">
        <v>3</v>
      </c>
      <c r="AS750" s="31" t="s">
        <v>404</v>
      </c>
      <c r="AX750" s="31" t="s">
        <v>625</v>
      </c>
      <c r="BB750" s="31">
        <f>35.7*1000/5</f>
        <v>7140</v>
      </c>
      <c r="BC750" s="31">
        <f>30.3*1000/5</f>
        <v>6060</v>
      </c>
      <c r="BD750" s="31" t="s">
        <v>628</v>
      </c>
      <c r="BH750" s="31">
        <v>1.44</v>
      </c>
      <c r="BI750" s="31">
        <v>3.07</v>
      </c>
      <c r="BK750" s="31">
        <v>1100</v>
      </c>
      <c r="BL750" s="31">
        <v>2300</v>
      </c>
      <c r="BM750" s="31" t="s">
        <v>629</v>
      </c>
      <c r="CF750" s="31">
        <f>0.7*1000</f>
        <v>700</v>
      </c>
      <c r="CG750" s="31">
        <v>930</v>
      </c>
      <c r="CH750" s="31" t="s">
        <v>630</v>
      </c>
      <c r="DS750" s="119"/>
      <c r="DU750" s="120"/>
      <c r="FA750" s="31" t="s">
        <v>868</v>
      </c>
      <c r="FC750" s="31">
        <v>36</v>
      </c>
    </row>
    <row r="751" spans="1:159" s="35" customFormat="1" x14ac:dyDescent="0.25">
      <c r="A751" s="35">
        <v>37</v>
      </c>
      <c r="B751" s="35" t="s">
        <v>632</v>
      </c>
      <c r="C751" s="35" t="s">
        <v>633</v>
      </c>
      <c r="D751" s="35">
        <v>2012</v>
      </c>
      <c r="E751" s="35">
        <v>2009</v>
      </c>
      <c r="F751" s="35" t="s">
        <v>146</v>
      </c>
      <c r="G751" s="35" t="s">
        <v>634</v>
      </c>
      <c r="H751" s="35">
        <f t="shared" ref="H751:H764" si="218">44+19/60</f>
        <v>44.31666666666667</v>
      </c>
      <c r="I751" s="35">
        <f t="shared" ref="I751:I764" si="219">-96-46/60</f>
        <v>-96.766666666666666</v>
      </c>
      <c r="J751" s="35">
        <v>504.6</v>
      </c>
      <c r="L751" s="35">
        <v>8</v>
      </c>
      <c r="M751" s="35">
        <v>580</v>
      </c>
      <c r="P751" s="54" t="s">
        <v>179</v>
      </c>
      <c r="Q751" s="54"/>
      <c r="R751" s="54" t="s">
        <v>637</v>
      </c>
      <c r="S751" s="54" t="s">
        <v>1647</v>
      </c>
      <c r="T751" s="54" t="s">
        <v>1647</v>
      </c>
      <c r="V751" s="35">
        <v>60</v>
      </c>
      <c r="W751" s="35">
        <f t="shared" ref="W751:W764" si="220">100-60-28</f>
        <v>12</v>
      </c>
      <c r="X751" s="35" t="s">
        <v>635</v>
      </c>
      <c r="Y751" s="35">
        <v>7.4</v>
      </c>
      <c r="Z751" s="35">
        <v>2.9</v>
      </c>
      <c r="AA751" s="35">
        <v>0.31</v>
      </c>
      <c r="AB751" s="35" t="s">
        <v>1572</v>
      </c>
      <c r="AC751" s="35" t="s">
        <v>641</v>
      </c>
      <c r="AD751" s="153" t="str">
        <f t="shared" si="213"/>
        <v>Canola</v>
      </c>
      <c r="AE751" s="35" t="s">
        <v>638</v>
      </c>
      <c r="AJ751" s="35" t="s">
        <v>639</v>
      </c>
      <c r="AK751" s="35" t="s">
        <v>203</v>
      </c>
      <c r="AL751" s="35" t="s">
        <v>618</v>
      </c>
      <c r="AP751" s="35" t="s">
        <v>208</v>
      </c>
      <c r="AQ751" s="35">
        <v>4</v>
      </c>
      <c r="AR751" s="35">
        <v>4</v>
      </c>
      <c r="AS751" s="35" t="s">
        <v>177</v>
      </c>
      <c r="AW751" s="63"/>
      <c r="DS751" s="35">
        <v>58.12</v>
      </c>
      <c r="DT751" s="35">
        <v>82.59</v>
      </c>
      <c r="DU751" s="35" t="s">
        <v>640</v>
      </c>
      <c r="FA751" s="35" t="s">
        <v>869</v>
      </c>
      <c r="FC751" s="35">
        <v>37</v>
      </c>
    </row>
    <row r="752" spans="1:159" s="35" customFormat="1" x14ac:dyDescent="0.25">
      <c r="A752" s="35">
        <v>37</v>
      </c>
      <c r="B752" s="35" t="s">
        <v>632</v>
      </c>
      <c r="C752" s="35" t="s">
        <v>633</v>
      </c>
      <c r="D752" s="35">
        <v>2012</v>
      </c>
      <c r="E752" s="35">
        <v>2009</v>
      </c>
      <c r="F752" s="35" t="s">
        <v>146</v>
      </c>
      <c r="G752" s="35" t="s">
        <v>634</v>
      </c>
      <c r="H752" s="35">
        <f t="shared" si="218"/>
        <v>44.31666666666667</v>
      </c>
      <c r="I752" s="35">
        <f t="shared" si="219"/>
        <v>-96.766666666666666</v>
      </c>
      <c r="J752" s="35">
        <v>504.6</v>
      </c>
      <c r="L752" s="35">
        <v>8</v>
      </c>
      <c r="M752" s="35">
        <v>580</v>
      </c>
      <c r="P752" s="54" t="s">
        <v>179</v>
      </c>
      <c r="Q752" s="54"/>
      <c r="R752" s="54" t="s">
        <v>637</v>
      </c>
      <c r="S752" s="54" t="s">
        <v>1647</v>
      </c>
      <c r="T752" s="54" t="s">
        <v>1647</v>
      </c>
      <c r="V752" s="35">
        <v>60</v>
      </c>
      <c r="W752" s="35">
        <f t="shared" si="220"/>
        <v>12</v>
      </c>
      <c r="X752" s="35" t="s">
        <v>635</v>
      </c>
      <c r="Y752" s="35">
        <v>7.4</v>
      </c>
      <c r="Z752" s="35">
        <v>2.9</v>
      </c>
      <c r="AA752" s="35">
        <v>0.31</v>
      </c>
      <c r="AB752" s="35" t="s">
        <v>1572</v>
      </c>
      <c r="AC752" s="35" t="s">
        <v>638</v>
      </c>
      <c r="AD752" s="153" t="str">
        <f t="shared" si="213"/>
        <v>Oat</v>
      </c>
      <c r="AE752" s="35" t="s">
        <v>638</v>
      </c>
      <c r="AJ752" s="35" t="s">
        <v>639</v>
      </c>
      <c r="AK752" s="35" t="s">
        <v>203</v>
      </c>
      <c r="AL752" s="35" t="s">
        <v>618</v>
      </c>
      <c r="AP752" s="35" t="s">
        <v>208</v>
      </c>
      <c r="AQ752" s="35">
        <v>4</v>
      </c>
      <c r="AR752" s="35">
        <v>4</v>
      </c>
      <c r="AS752" s="35" t="s">
        <v>177</v>
      </c>
      <c r="AW752" s="63"/>
      <c r="DS752" s="35">
        <v>58.12</v>
      </c>
      <c r="DT752" s="35">
        <v>146.5</v>
      </c>
      <c r="DU752" s="35" t="s">
        <v>640</v>
      </c>
      <c r="FA752" s="35" t="s">
        <v>869</v>
      </c>
      <c r="FC752" s="35">
        <v>37</v>
      </c>
    </row>
    <row r="753" spans="1:159" s="35" customFormat="1" x14ac:dyDescent="0.25">
      <c r="A753" s="35">
        <v>37</v>
      </c>
      <c r="B753" s="35" t="s">
        <v>632</v>
      </c>
      <c r="C753" s="35" t="s">
        <v>633</v>
      </c>
      <c r="D753" s="35">
        <v>2012</v>
      </c>
      <c r="E753" s="35">
        <v>2009</v>
      </c>
      <c r="F753" s="35" t="s">
        <v>146</v>
      </c>
      <c r="G753" s="35" t="s">
        <v>634</v>
      </c>
      <c r="H753" s="35">
        <f t="shared" si="218"/>
        <v>44.31666666666667</v>
      </c>
      <c r="I753" s="35">
        <f t="shared" si="219"/>
        <v>-96.766666666666666</v>
      </c>
      <c r="J753" s="35">
        <v>504.6</v>
      </c>
      <c r="L753" s="35">
        <v>8</v>
      </c>
      <c r="M753" s="35">
        <v>580</v>
      </c>
      <c r="P753" s="54" t="s">
        <v>179</v>
      </c>
      <c r="Q753" s="54"/>
      <c r="R753" s="54" t="s">
        <v>637</v>
      </c>
      <c r="S753" s="54" t="s">
        <v>1647</v>
      </c>
      <c r="T753" s="54" t="s">
        <v>1647</v>
      </c>
      <c r="V753" s="35">
        <v>60</v>
      </c>
      <c r="W753" s="35">
        <f t="shared" si="220"/>
        <v>12</v>
      </c>
      <c r="X753" s="35" t="s">
        <v>635</v>
      </c>
      <c r="Y753" s="35">
        <v>7.4</v>
      </c>
      <c r="Z753" s="35">
        <v>2.9</v>
      </c>
      <c r="AA753" s="35">
        <v>0.31</v>
      </c>
      <c r="AB753" s="35" t="s">
        <v>1572</v>
      </c>
      <c r="AC753" s="35" t="s">
        <v>301</v>
      </c>
      <c r="AD753" s="153" t="str">
        <f t="shared" si="213"/>
        <v>Vetch</v>
      </c>
      <c r="AE753" s="35" t="s">
        <v>638</v>
      </c>
      <c r="AJ753" s="35" t="s">
        <v>639</v>
      </c>
      <c r="AK753" s="35" t="s">
        <v>203</v>
      </c>
      <c r="AL753" s="35" t="s">
        <v>618</v>
      </c>
      <c r="AP753" s="35" t="s">
        <v>208</v>
      </c>
      <c r="AQ753" s="35">
        <v>4</v>
      </c>
      <c r="AR753" s="35">
        <v>4</v>
      </c>
      <c r="AS753" s="35" t="s">
        <v>177</v>
      </c>
      <c r="AW753" s="63"/>
      <c r="DS753" s="35">
        <v>58.12</v>
      </c>
      <c r="DT753" s="35">
        <v>111.06</v>
      </c>
      <c r="DU753" s="35" t="s">
        <v>640</v>
      </c>
      <c r="FA753" s="35" t="s">
        <v>869</v>
      </c>
      <c r="FC753" s="35">
        <v>37</v>
      </c>
    </row>
    <row r="754" spans="1:159" s="35" customFormat="1" x14ac:dyDescent="0.25">
      <c r="A754" s="35">
        <v>37</v>
      </c>
      <c r="B754" s="35" t="s">
        <v>632</v>
      </c>
      <c r="C754" s="35" t="s">
        <v>633</v>
      </c>
      <c r="D754" s="35">
        <v>2012</v>
      </c>
      <c r="E754" s="35">
        <v>2009</v>
      </c>
      <c r="F754" s="35" t="s">
        <v>146</v>
      </c>
      <c r="G754" s="35" t="s">
        <v>634</v>
      </c>
      <c r="H754" s="35">
        <f t="shared" si="218"/>
        <v>44.31666666666667</v>
      </c>
      <c r="I754" s="35">
        <f t="shared" si="219"/>
        <v>-96.766666666666666</v>
      </c>
      <c r="J754" s="35">
        <v>504.6</v>
      </c>
      <c r="L754" s="35">
        <v>8</v>
      </c>
      <c r="M754" s="35">
        <v>580</v>
      </c>
      <c r="P754" s="54" t="s">
        <v>179</v>
      </c>
      <c r="Q754" s="54"/>
      <c r="R754" s="54" t="s">
        <v>637</v>
      </c>
      <c r="S754" s="54" t="s">
        <v>1647</v>
      </c>
      <c r="T754" s="54" t="s">
        <v>1647</v>
      </c>
      <c r="V754" s="35">
        <v>60</v>
      </c>
      <c r="W754" s="35">
        <f t="shared" si="220"/>
        <v>12</v>
      </c>
      <c r="X754" s="35" t="s">
        <v>635</v>
      </c>
      <c r="Y754" s="35">
        <v>7.4</v>
      </c>
      <c r="Z754" s="35">
        <v>2.9</v>
      </c>
      <c r="AA754" s="35">
        <v>0.31</v>
      </c>
      <c r="AB754" s="35" t="s">
        <v>1572</v>
      </c>
      <c r="AC754" s="35" t="s">
        <v>1841</v>
      </c>
      <c r="AD754" s="153" t="str">
        <f t="shared" si="213"/>
        <v>Oat/canola</v>
      </c>
      <c r="AE754" s="35" t="s">
        <v>638</v>
      </c>
      <c r="AJ754" s="35" t="s">
        <v>639</v>
      </c>
      <c r="AK754" s="35" t="s">
        <v>203</v>
      </c>
      <c r="AL754" s="35" t="s">
        <v>618</v>
      </c>
      <c r="AP754" s="35" t="s">
        <v>208</v>
      </c>
      <c r="AQ754" s="35">
        <v>4</v>
      </c>
      <c r="AR754" s="35">
        <v>4</v>
      </c>
      <c r="AS754" s="35" t="s">
        <v>177</v>
      </c>
      <c r="AW754" s="63"/>
      <c r="DS754" s="35">
        <v>58.12</v>
      </c>
      <c r="DT754" s="35">
        <v>213.15</v>
      </c>
      <c r="DU754" s="35" t="s">
        <v>640</v>
      </c>
      <c r="FA754" s="35" t="s">
        <v>869</v>
      </c>
      <c r="FC754" s="35">
        <v>37</v>
      </c>
    </row>
    <row r="755" spans="1:159" s="35" customFormat="1" x14ac:dyDescent="0.25">
      <c r="A755" s="35">
        <v>37</v>
      </c>
      <c r="B755" s="35" t="s">
        <v>632</v>
      </c>
      <c r="C755" s="35" t="s">
        <v>633</v>
      </c>
      <c r="D755" s="35">
        <v>2012</v>
      </c>
      <c r="E755" s="35">
        <v>2009</v>
      </c>
      <c r="F755" s="35" t="s">
        <v>146</v>
      </c>
      <c r="G755" s="35" t="s">
        <v>634</v>
      </c>
      <c r="H755" s="35">
        <f t="shared" si="218"/>
        <v>44.31666666666667</v>
      </c>
      <c r="I755" s="35">
        <f t="shared" si="219"/>
        <v>-96.766666666666666</v>
      </c>
      <c r="J755" s="35">
        <v>504.6</v>
      </c>
      <c r="L755" s="35">
        <v>8</v>
      </c>
      <c r="M755" s="35">
        <v>580</v>
      </c>
      <c r="P755" s="54" t="s">
        <v>179</v>
      </c>
      <c r="Q755" s="54"/>
      <c r="R755" s="54" t="s">
        <v>637</v>
      </c>
      <c r="S755" s="54" t="s">
        <v>1647</v>
      </c>
      <c r="T755" s="54" t="s">
        <v>1647</v>
      </c>
      <c r="V755" s="35">
        <v>60</v>
      </c>
      <c r="W755" s="35">
        <f t="shared" si="220"/>
        <v>12</v>
      </c>
      <c r="X755" s="35" t="s">
        <v>635</v>
      </c>
      <c r="Y755" s="35">
        <v>7.4</v>
      </c>
      <c r="Z755" s="35">
        <v>2.9</v>
      </c>
      <c r="AA755" s="35">
        <v>0.31</v>
      </c>
      <c r="AB755" s="35" t="s">
        <v>1572</v>
      </c>
      <c r="AC755" s="35" t="s">
        <v>1843</v>
      </c>
      <c r="AD755" s="153" t="str">
        <f t="shared" si="213"/>
        <v>Oat/Vetch</v>
      </c>
      <c r="AE755" s="35" t="s">
        <v>638</v>
      </c>
      <c r="AJ755" s="35" t="s">
        <v>639</v>
      </c>
      <c r="AK755" s="35" t="s">
        <v>203</v>
      </c>
      <c r="AL755" s="35" t="s">
        <v>618</v>
      </c>
      <c r="AP755" s="35" t="s">
        <v>208</v>
      </c>
      <c r="AQ755" s="35">
        <v>4</v>
      </c>
      <c r="AR755" s="35">
        <v>4</v>
      </c>
      <c r="AS755" s="35" t="s">
        <v>177</v>
      </c>
      <c r="AW755" s="63"/>
      <c r="DS755" s="35">
        <v>58.12</v>
      </c>
      <c r="DT755" s="35">
        <v>176.05</v>
      </c>
      <c r="DU755" s="35" t="s">
        <v>640</v>
      </c>
      <c r="FA755" s="35" t="s">
        <v>869</v>
      </c>
      <c r="FC755" s="35">
        <v>37</v>
      </c>
    </row>
    <row r="756" spans="1:159" s="35" customFormat="1" x14ac:dyDescent="0.25">
      <c r="A756" s="35">
        <v>37</v>
      </c>
      <c r="B756" s="35" t="s">
        <v>632</v>
      </c>
      <c r="C756" s="35" t="s">
        <v>633</v>
      </c>
      <c r="D756" s="35">
        <v>2012</v>
      </c>
      <c r="E756" s="35">
        <v>2009</v>
      </c>
      <c r="F756" s="35" t="s">
        <v>146</v>
      </c>
      <c r="G756" s="35" t="s">
        <v>634</v>
      </c>
      <c r="H756" s="35">
        <f t="shared" si="218"/>
        <v>44.31666666666667</v>
      </c>
      <c r="I756" s="35">
        <f t="shared" si="219"/>
        <v>-96.766666666666666</v>
      </c>
      <c r="J756" s="35">
        <v>504.6</v>
      </c>
      <c r="L756" s="35">
        <v>8</v>
      </c>
      <c r="M756" s="35">
        <v>580</v>
      </c>
      <c r="P756" s="54" t="s">
        <v>179</v>
      </c>
      <c r="Q756" s="54"/>
      <c r="R756" s="54" t="s">
        <v>637</v>
      </c>
      <c r="S756" s="54" t="s">
        <v>1647</v>
      </c>
      <c r="T756" s="54" t="s">
        <v>1647</v>
      </c>
      <c r="V756" s="35">
        <v>60</v>
      </c>
      <c r="W756" s="35">
        <f t="shared" si="220"/>
        <v>12</v>
      </c>
      <c r="X756" s="35" t="s">
        <v>635</v>
      </c>
      <c r="Y756" s="35">
        <v>7.4</v>
      </c>
      <c r="Z756" s="35">
        <v>2.9</v>
      </c>
      <c r="AA756" s="35">
        <v>0.31</v>
      </c>
      <c r="AB756" s="35" t="s">
        <v>1572</v>
      </c>
      <c r="AC756" s="35" t="s">
        <v>1842</v>
      </c>
      <c r="AD756" s="153" t="str">
        <f t="shared" si="213"/>
        <v>Canola/Vetch</v>
      </c>
      <c r="AE756" s="35" t="s">
        <v>638</v>
      </c>
      <c r="AJ756" s="35" t="s">
        <v>639</v>
      </c>
      <c r="AK756" s="35" t="s">
        <v>203</v>
      </c>
      <c r="AL756" s="35" t="s">
        <v>618</v>
      </c>
      <c r="AP756" s="35" t="s">
        <v>208</v>
      </c>
      <c r="AQ756" s="35">
        <v>4</v>
      </c>
      <c r="AR756" s="35">
        <v>4</v>
      </c>
      <c r="AS756" s="35" t="s">
        <v>177</v>
      </c>
      <c r="AW756" s="63"/>
      <c r="DS756" s="35">
        <v>58.12</v>
      </c>
      <c r="DT756" s="35">
        <v>83.92</v>
      </c>
      <c r="DU756" s="35" t="s">
        <v>640</v>
      </c>
      <c r="FA756" s="35" t="s">
        <v>869</v>
      </c>
      <c r="FC756" s="35">
        <v>37</v>
      </c>
    </row>
    <row r="757" spans="1:159" s="35" customFormat="1" x14ac:dyDescent="0.25">
      <c r="A757" s="35">
        <v>37</v>
      </c>
      <c r="B757" s="35" t="s">
        <v>632</v>
      </c>
      <c r="C757" s="35" t="s">
        <v>633</v>
      </c>
      <c r="D757" s="35">
        <v>2012</v>
      </c>
      <c r="E757" s="35">
        <v>2009</v>
      </c>
      <c r="F757" s="35" t="s">
        <v>146</v>
      </c>
      <c r="G757" s="35" t="s">
        <v>634</v>
      </c>
      <c r="H757" s="35">
        <f t="shared" si="218"/>
        <v>44.31666666666667</v>
      </c>
      <c r="I757" s="35">
        <f t="shared" si="219"/>
        <v>-96.766666666666666</v>
      </c>
      <c r="J757" s="35">
        <v>504.6</v>
      </c>
      <c r="L757" s="35">
        <v>8</v>
      </c>
      <c r="M757" s="35">
        <v>580</v>
      </c>
      <c r="P757" s="54" t="s">
        <v>179</v>
      </c>
      <c r="Q757" s="54"/>
      <c r="R757" s="54" t="s">
        <v>637</v>
      </c>
      <c r="S757" s="54" t="s">
        <v>1647</v>
      </c>
      <c r="T757" s="54" t="s">
        <v>1647</v>
      </c>
      <c r="V757" s="35">
        <v>60</v>
      </c>
      <c r="W757" s="35">
        <f t="shared" si="220"/>
        <v>12</v>
      </c>
      <c r="X757" s="35" t="s">
        <v>635</v>
      </c>
      <c r="Y757" s="35">
        <v>7.4</v>
      </c>
      <c r="Z757" s="35">
        <v>2.9</v>
      </c>
      <c r="AA757" s="35">
        <v>0.31</v>
      </c>
      <c r="AB757" s="35" t="s">
        <v>1572</v>
      </c>
      <c r="AC757" s="35" t="s">
        <v>1840</v>
      </c>
      <c r="AD757" s="153" t="str">
        <f t="shared" si="213"/>
        <v>Oat/Canola/Vetch</v>
      </c>
      <c r="AE757" s="35" t="s">
        <v>638</v>
      </c>
      <c r="AJ757" s="35" t="s">
        <v>639</v>
      </c>
      <c r="AK757" s="35" t="s">
        <v>203</v>
      </c>
      <c r="AL757" s="35" t="s">
        <v>618</v>
      </c>
      <c r="AP757" s="35" t="s">
        <v>208</v>
      </c>
      <c r="AQ757" s="35">
        <v>4</v>
      </c>
      <c r="AR757" s="35">
        <v>4</v>
      </c>
      <c r="AS757" s="35" t="s">
        <v>177</v>
      </c>
      <c r="AW757" s="63"/>
      <c r="DS757" s="35">
        <v>58.12</v>
      </c>
      <c r="DT757" s="35">
        <v>179.97</v>
      </c>
      <c r="DU757" s="35" t="s">
        <v>640</v>
      </c>
      <c r="FA757" s="35" t="s">
        <v>869</v>
      </c>
      <c r="FC757" s="35">
        <v>37</v>
      </c>
    </row>
    <row r="758" spans="1:159" s="26" customFormat="1" x14ac:dyDescent="0.25">
      <c r="A758" s="26">
        <v>37</v>
      </c>
      <c r="B758" s="26" t="s">
        <v>632</v>
      </c>
      <c r="C758" s="26" t="s">
        <v>633</v>
      </c>
      <c r="D758" s="26">
        <v>2012</v>
      </c>
      <c r="E758" s="26">
        <v>2010</v>
      </c>
      <c r="F758" s="26" t="s">
        <v>146</v>
      </c>
      <c r="G758" s="26" t="s">
        <v>634</v>
      </c>
      <c r="H758" s="26">
        <f t="shared" si="218"/>
        <v>44.31666666666667</v>
      </c>
      <c r="I758" s="26">
        <f t="shared" si="219"/>
        <v>-96.766666666666666</v>
      </c>
      <c r="J758" s="26">
        <v>504.6</v>
      </c>
      <c r="L758" s="26">
        <v>8</v>
      </c>
      <c r="M758" s="26">
        <v>580</v>
      </c>
      <c r="P758" s="52" t="s">
        <v>180</v>
      </c>
      <c r="Q758" s="52"/>
      <c r="R758" s="52" t="s">
        <v>637</v>
      </c>
      <c r="S758" s="52" t="s">
        <v>1647</v>
      </c>
      <c r="T758" s="52" t="s">
        <v>1647</v>
      </c>
      <c r="V758" s="26">
        <v>60</v>
      </c>
      <c r="W758" s="26">
        <f t="shared" si="220"/>
        <v>12</v>
      </c>
      <c r="X758" s="26" t="s">
        <v>635</v>
      </c>
      <c r="Y758" s="26">
        <v>7.4</v>
      </c>
      <c r="Z758" s="26">
        <v>2.9</v>
      </c>
      <c r="AA758" s="26">
        <v>0.31</v>
      </c>
      <c r="AB758" s="26" t="s">
        <v>1572</v>
      </c>
      <c r="AC758" s="26" t="s">
        <v>641</v>
      </c>
      <c r="AD758" s="153" t="str">
        <f t="shared" si="213"/>
        <v>Canola</v>
      </c>
      <c r="AE758" s="26" t="s">
        <v>638</v>
      </c>
      <c r="AJ758" s="26" t="s">
        <v>639</v>
      </c>
      <c r="AK758" s="26" t="s">
        <v>203</v>
      </c>
      <c r="AL758" s="26" t="s">
        <v>618</v>
      </c>
      <c r="AP758" s="26" t="s">
        <v>208</v>
      </c>
      <c r="AQ758" s="26">
        <v>4</v>
      </c>
      <c r="AR758" s="26">
        <v>4</v>
      </c>
      <c r="AS758" s="26" t="s">
        <v>177</v>
      </c>
      <c r="AW758" s="63"/>
      <c r="DS758" s="26">
        <v>27.44</v>
      </c>
      <c r="DT758" s="26">
        <v>40.340000000000003</v>
      </c>
      <c r="DU758" s="26" t="s">
        <v>640</v>
      </c>
      <c r="FA758" s="26" t="s">
        <v>869</v>
      </c>
      <c r="FC758" s="26">
        <v>37</v>
      </c>
    </row>
    <row r="759" spans="1:159" s="26" customFormat="1" x14ac:dyDescent="0.25">
      <c r="A759" s="26">
        <v>37</v>
      </c>
      <c r="B759" s="26" t="s">
        <v>632</v>
      </c>
      <c r="C759" s="26" t="s">
        <v>633</v>
      </c>
      <c r="D759" s="26">
        <v>2012</v>
      </c>
      <c r="E759" s="26">
        <v>2010</v>
      </c>
      <c r="F759" s="26" t="s">
        <v>146</v>
      </c>
      <c r="G759" s="26" t="s">
        <v>634</v>
      </c>
      <c r="H759" s="26">
        <f t="shared" si="218"/>
        <v>44.31666666666667</v>
      </c>
      <c r="I759" s="26">
        <f t="shared" si="219"/>
        <v>-96.766666666666666</v>
      </c>
      <c r="J759" s="26">
        <v>504.6</v>
      </c>
      <c r="L759" s="26">
        <v>8</v>
      </c>
      <c r="M759" s="26">
        <v>580</v>
      </c>
      <c r="P759" s="52" t="s">
        <v>180</v>
      </c>
      <c r="Q759" s="52"/>
      <c r="R759" s="52" t="s">
        <v>637</v>
      </c>
      <c r="S759" s="52" t="s">
        <v>1647</v>
      </c>
      <c r="T759" s="52" t="s">
        <v>1647</v>
      </c>
      <c r="V759" s="26">
        <v>60</v>
      </c>
      <c r="W759" s="26">
        <f t="shared" si="220"/>
        <v>12</v>
      </c>
      <c r="X759" s="26" t="s">
        <v>635</v>
      </c>
      <c r="Y759" s="26">
        <v>7.4</v>
      </c>
      <c r="Z759" s="26">
        <v>2.9</v>
      </c>
      <c r="AA759" s="26">
        <v>0.31</v>
      </c>
      <c r="AB759" s="26" t="s">
        <v>1572</v>
      </c>
      <c r="AC759" s="26" t="s">
        <v>638</v>
      </c>
      <c r="AD759" s="153" t="str">
        <f t="shared" si="213"/>
        <v>Oat</v>
      </c>
      <c r="AE759" s="26" t="s">
        <v>638</v>
      </c>
      <c r="AJ759" s="26" t="s">
        <v>639</v>
      </c>
      <c r="AK759" s="26" t="s">
        <v>203</v>
      </c>
      <c r="AL759" s="26" t="s">
        <v>618</v>
      </c>
      <c r="AP759" s="26" t="s">
        <v>208</v>
      </c>
      <c r="AQ759" s="26">
        <v>4</v>
      </c>
      <c r="AR759" s="26">
        <v>4</v>
      </c>
      <c r="AS759" s="26" t="s">
        <v>177</v>
      </c>
      <c r="AW759" s="63"/>
      <c r="DS759" s="26">
        <v>27.44</v>
      </c>
      <c r="DT759" s="26">
        <v>83.55</v>
      </c>
      <c r="DU759" s="26" t="s">
        <v>640</v>
      </c>
      <c r="FA759" s="26" t="s">
        <v>869</v>
      </c>
      <c r="FC759" s="26">
        <v>37</v>
      </c>
    </row>
    <row r="760" spans="1:159" s="26" customFormat="1" x14ac:dyDescent="0.25">
      <c r="A760" s="26">
        <v>37</v>
      </c>
      <c r="B760" s="26" t="s">
        <v>632</v>
      </c>
      <c r="C760" s="26" t="s">
        <v>633</v>
      </c>
      <c r="D760" s="26">
        <v>2012</v>
      </c>
      <c r="E760" s="26">
        <v>2010</v>
      </c>
      <c r="F760" s="26" t="s">
        <v>146</v>
      </c>
      <c r="G760" s="26" t="s">
        <v>634</v>
      </c>
      <c r="H760" s="26">
        <f t="shared" si="218"/>
        <v>44.31666666666667</v>
      </c>
      <c r="I760" s="26">
        <f t="shared" si="219"/>
        <v>-96.766666666666666</v>
      </c>
      <c r="J760" s="26">
        <v>504.6</v>
      </c>
      <c r="L760" s="26">
        <v>8</v>
      </c>
      <c r="M760" s="26">
        <v>580</v>
      </c>
      <c r="P760" s="52" t="s">
        <v>180</v>
      </c>
      <c r="Q760" s="52"/>
      <c r="R760" s="52" t="s">
        <v>637</v>
      </c>
      <c r="S760" s="52" t="s">
        <v>1647</v>
      </c>
      <c r="T760" s="52" t="s">
        <v>1647</v>
      </c>
      <c r="V760" s="26">
        <v>60</v>
      </c>
      <c r="W760" s="26">
        <f t="shared" si="220"/>
        <v>12</v>
      </c>
      <c r="X760" s="26" t="s">
        <v>635</v>
      </c>
      <c r="Y760" s="26">
        <v>7.4</v>
      </c>
      <c r="Z760" s="26">
        <v>2.9</v>
      </c>
      <c r="AA760" s="26">
        <v>0.31</v>
      </c>
      <c r="AB760" s="26" t="s">
        <v>1572</v>
      </c>
      <c r="AC760" s="26" t="s">
        <v>301</v>
      </c>
      <c r="AD760" s="153" t="str">
        <f t="shared" si="213"/>
        <v>Vetch</v>
      </c>
      <c r="AE760" s="26" t="s">
        <v>638</v>
      </c>
      <c r="AJ760" s="26" t="s">
        <v>639</v>
      </c>
      <c r="AK760" s="26" t="s">
        <v>203</v>
      </c>
      <c r="AL760" s="26" t="s">
        <v>618</v>
      </c>
      <c r="AP760" s="26" t="s">
        <v>208</v>
      </c>
      <c r="AQ760" s="26">
        <v>4</v>
      </c>
      <c r="AR760" s="26">
        <v>4</v>
      </c>
      <c r="AS760" s="26" t="s">
        <v>177</v>
      </c>
      <c r="AW760" s="63"/>
      <c r="DS760" s="26">
        <v>27.44</v>
      </c>
      <c r="DT760" s="26">
        <v>41.73</v>
      </c>
      <c r="DU760" s="26" t="s">
        <v>640</v>
      </c>
      <c r="FA760" s="26" t="s">
        <v>869</v>
      </c>
      <c r="FC760" s="26">
        <v>37</v>
      </c>
    </row>
    <row r="761" spans="1:159" s="26" customFormat="1" x14ac:dyDescent="0.25">
      <c r="A761" s="26">
        <v>37</v>
      </c>
      <c r="B761" s="26" t="s">
        <v>632</v>
      </c>
      <c r="C761" s="26" t="s">
        <v>633</v>
      </c>
      <c r="D761" s="26">
        <v>2012</v>
      </c>
      <c r="E761" s="26">
        <v>2010</v>
      </c>
      <c r="F761" s="26" t="s">
        <v>146</v>
      </c>
      <c r="G761" s="26" t="s">
        <v>634</v>
      </c>
      <c r="H761" s="26">
        <f t="shared" si="218"/>
        <v>44.31666666666667</v>
      </c>
      <c r="I761" s="26">
        <f t="shared" si="219"/>
        <v>-96.766666666666666</v>
      </c>
      <c r="J761" s="26">
        <v>504.6</v>
      </c>
      <c r="L761" s="26">
        <v>8</v>
      </c>
      <c r="M761" s="26">
        <v>580</v>
      </c>
      <c r="P761" s="52" t="s">
        <v>180</v>
      </c>
      <c r="Q761" s="52"/>
      <c r="R761" s="52" t="s">
        <v>637</v>
      </c>
      <c r="S761" s="52" t="s">
        <v>1647</v>
      </c>
      <c r="T761" s="52" t="s">
        <v>1647</v>
      </c>
      <c r="V761" s="26">
        <v>60</v>
      </c>
      <c r="W761" s="26">
        <f t="shared" si="220"/>
        <v>12</v>
      </c>
      <c r="X761" s="26" t="s">
        <v>635</v>
      </c>
      <c r="Y761" s="26">
        <v>7.4</v>
      </c>
      <c r="Z761" s="26">
        <v>2.9</v>
      </c>
      <c r="AA761" s="26">
        <v>0.31</v>
      </c>
      <c r="AB761" s="26" t="s">
        <v>1572</v>
      </c>
      <c r="AC761" s="26" t="s">
        <v>1841</v>
      </c>
      <c r="AD761" s="153" t="str">
        <f t="shared" si="213"/>
        <v>Oat/canola</v>
      </c>
      <c r="AE761" s="26" t="s">
        <v>638</v>
      </c>
      <c r="AJ761" s="26" t="s">
        <v>639</v>
      </c>
      <c r="AK761" s="26" t="s">
        <v>203</v>
      </c>
      <c r="AL761" s="26" t="s">
        <v>618</v>
      </c>
      <c r="AP761" s="26" t="s">
        <v>208</v>
      </c>
      <c r="AQ761" s="26">
        <v>4</v>
      </c>
      <c r="AR761" s="26">
        <v>4</v>
      </c>
      <c r="AS761" s="26" t="s">
        <v>177</v>
      </c>
      <c r="AW761" s="63"/>
      <c r="DS761" s="26">
        <v>27.44</v>
      </c>
      <c r="DT761" s="26">
        <v>76.89</v>
      </c>
      <c r="DU761" s="26" t="s">
        <v>640</v>
      </c>
      <c r="FA761" s="26" t="s">
        <v>869</v>
      </c>
      <c r="FC761" s="26">
        <v>37</v>
      </c>
    </row>
    <row r="762" spans="1:159" s="26" customFormat="1" x14ac:dyDescent="0.25">
      <c r="A762" s="26">
        <v>37</v>
      </c>
      <c r="B762" s="26" t="s">
        <v>632</v>
      </c>
      <c r="C762" s="26" t="s">
        <v>633</v>
      </c>
      <c r="D762" s="26">
        <v>2012</v>
      </c>
      <c r="E762" s="26">
        <v>2010</v>
      </c>
      <c r="F762" s="26" t="s">
        <v>146</v>
      </c>
      <c r="G762" s="26" t="s">
        <v>634</v>
      </c>
      <c r="H762" s="26">
        <f t="shared" si="218"/>
        <v>44.31666666666667</v>
      </c>
      <c r="I762" s="26">
        <f t="shared" si="219"/>
        <v>-96.766666666666666</v>
      </c>
      <c r="J762" s="26">
        <v>504.6</v>
      </c>
      <c r="L762" s="26">
        <v>8</v>
      </c>
      <c r="M762" s="26">
        <v>580</v>
      </c>
      <c r="P762" s="52" t="s">
        <v>180</v>
      </c>
      <c r="Q762" s="52"/>
      <c r="R762" s="52" t="s">
        <v>637</v>
      </c>
      <c r="S762" s="52" t="s">
        <v>1647</v>
      </c>
      <c r="T762" s="52" t="s">
        <v>1647</v>
      </c>
      <c r="V762" s="26">
        <v>60</v>
      </c>
      <c r="W762" s="26">
        <f t="shared" si="220"/>
        <v>12</v>
      </c>
      <c r="X762" s="26" t="s">
        <v>635</v>
      </c>
      <c r="Y762" s="26">
        <v>7.4</v>
      </c>
      <c r="Z762" s="26">
        <v>2.9</v>
      </c>
      <c r="AA762" s="26">
        <v>0.31</v>
      </c>
      <c r="AB762" s="26" t="s">
        <v>1572</v>
      </c>
      <c r="AC762" s="26" t="s">
        <v>1843</v>
      </c>
      <c r="AD762" s="153" t="str">
        <f t="shared" si="213"/>
        <v>Oat/Vetch</v>
      </c>
      <c r="AE762" s="26" t="s">
        <v>638</v>
      </c>
      <c r="AJ762" s="26" t="s">
        <v>639</v>
      </c>
      <c r="AK762" s="26" t="s">
        <v>203</v>
      </c>
      <c r="AL762" s="26" t="s">
        <v>618</v>
      </c>
      <c r="AP762" s="26" t="s">
        <v>208</v>
      </c>
      <c r="AQ762" s="26">
        <v>4</v>
      </c>
      <c r="AR762" s="26">
        <v>4</v>
      </c>
      <c r="AS762" s="26" t="s">
        <v>177</v>
      </c>
      <c r="AW762" s="63"/>
      <c r="DS762" s="26">
        <v>27.44</v>
      </c>
      <c r="DT762" s="26">
        <v>103.25</v>
      </c>
      <c r="DU762" s="26" t="s">
        <v>640</v>
      </c>
      <c r="FA762" s="26" t="s">
        <v>869</v>
      </c>
      <c r="FC762" s="26">
        <v>37</v>
      </c>
    </row>
    <row r="763" spans="1:159" s="26" customFormat="1" x14ac:dyDescent="0.25">
      <c r="A763" s="26">
        <v>37</v>
      </c>
      <c r="B763" s="26" t="s">
        <v>632</v>
      </c>
      <c r="C763" s="26" t="s">
        <v>633</v>
      </c>
      <c r="D763" s="26">
        <v>2012</v>
      </c>
      <c r="E763" s="26">
        <v>2010</v>
      </c>
      <c r="F763" s="26" t="s">
        <v>146</v>
      </c>
      <c r="G763" s="26" t="s">
        <v>634</v>
      </c>
      <c r="H763" s="26">
        <f t="shared" si="218"/>
        <v>44.31666666666667</v>
      </c>
      <c r="I763" s="26">
        <f t="shared" si="219"/>
        <v>-96.766666666666666</v>
      </c>
      <c r="J763" s="26">
        <v>504.6</v>
      </c>
      <c r="L763" s="26">
        <v>8</v>
      </c>
      <c r="M763" s="26">
        <v>580</v>
      </c>
      <c r="P763" s="52" t="s">
        <v>180</v>
      </c>
      <c r="Q763" s="52"/>
      <c r="R763" s="52" t="s">
        <v>637</v>
      </c>
      <c r="S763" s="52" t="s">
        <v>1647</v>
      </c>
      <c r="T763" s="52" t="s">
        <v>1647</v>
      </c>
      <c r="V763" s="26">
        <v>60</v>
      </c>
      <c r="W763" s="26">
        <f t="shared" si="220"/>
        <v>12</v>
      </c>
      <c r="X763" s="26" t="s">
        <v>635</v>
      </c>
      <c r="Y763" s="26">
        <v>7.4</v>
      </c>
      <c r="Z763" s="26">
        <v>2.9</v>
      </c>
      <c r="AA763" s="26">
        <v>0.31</v>
      </c>
      <c r="AB763" s="26" t="s">
        <v>1572</v>
      </c>
      <c r="AC763" s="26" t="s">
        <v>1842</v>
      </c>
      <c r="AD763" s="153" t="str">
        <f t="shared" si="213"/>
        <v>Canola/Vetch</v>
      </c>
      <c r="AE763" s="26" t="s">
        <v>638</v>
      </c>
      <c r="AJ763" s="26" t="s">
        <v>639</v>
      </c>
      <c r="AK763" s="26" t="s">
        <v>203</v>
      </c>
      <c r="AL763" s="26" t="s">
        <v>618</v>
      </c>
      <c r="AP763" s="26" t="s">
        <v>208</v>
      </c>
      <c r="AQ763" s="26">
        <v>4</v>
      </c>
      <c r="AR763" s="26">
        <v>4</v>
      </c>
      <c r="AS763" s="26" t="s">
        <v>177</v>
      </c>
      <c r="AW763" s="63"/>
      <c r="DS763" s="26">
        <v>27.44</v>
      </c>
      <c r="DT763" s="26">
        <v>42.8</v>
      </c>
      <c r="DU763" s="26" t="s">
        <v>640</v>
      </c>
      <c r="FA763" s="26" t="s">
        <v>869</v>
      </c>
      <c r="FC763" s="26">
        <v>37</v>
      </c>
    </row>
    <row r="764" spans="1:159" s="26" customFormat="1" x14ac:dyDescent="0.25">
      <c r="A764" s="26">
        <v>37</v>
      </c>
      <c r="B764" s="26" t="s">
        <v>632</v>
      </c>
      <c r="C764" s="26" t="s">
        <v>633</v>
      </c>
      <c r="D764" s="26">
        <v>2012</v>
      </c>
      <c r="E764" s="26">
        <v>2010</v>
      </c>
      <c r="F764" s="26" t="s">
        <v>146</v>
      </c>
      <c r="G764" s="26" t="s">
        <v>634</v>
      </c>
      <c r="H764" s="26">
        <f t="shared" si="218"/>
        <v>44.31666666666667</v>
      </c>
      <c r="I764" s="26">
        <f t="shared" si="219"/>
        <v>-96.766666666666666</v>
      </c>
      <c r="J764" s="26">
        <v>504.6</v>
      </c>
      <c r="L764" s="26">
        <v>8</v>
      </c>
      <c r="M764" s="26">
        <v>580</v>
      </c>
      <c r="P764" s="52" t="s">
        <v>180</v>
      </c>
      <c r="Q764" s="52"/>
      <c r="R764" s="52" t="s">
        <v>637</v>
      </c>
      <c r="S764" s="52" t="s">
        <v>1647</v>
      </c>
      <c r="T764" s="52" t="s">
        <v>1647</v>
      </c>
      <c r="V764" s="26">
        <v>60</v>
      </c>
      <c r="W764" s="26">
        <f t="shared" si="220"/>
        <v>12</v>
      </c>
      <c r="X764" s="26" t="s">
        <v>635</v>
      </c>
      <c r="Y764" s="26">
        <v>7.4</v>
      </c>
      <c r="Z764" s="26">
        <v>2.9</v>
      </c>
      <c r="AA764" s="26">
        <v>0.31</v>
      </c>
      <c r="AB764" s="26" t="s">
        <v>1572</v>
      </c>
      <c r="AC764" s="26" t="s">
        <v>1840</v>
      </c>
      <c r="AD764" s="153" t="str">
        <f t="shared" si="213"/>
        <v>Oat/Canola/Vetch</v>
      </c>
      <c r="AE764" s="26" t="s">
        <v>638</v>
      </c>
      <c r="AJ764" s="26" t="s">
        <v>639</v>
      </c>
      <c r="AK764" s="26" t="s">
        <v>203</v>
      </c>
      <c r="AL764" s="26" t="s">
        <v>618</v>
      </c>
      <c r="AP764" s="26" t="s">
        <v>208</v>
      </c>
      <c r="AQ764" s="26">
        <v>4</v>
      </c>
      <c r="AR764" s="26">
        <v>4</v>
      </c>
      <c r="AS764" s="26" t="s">
        <v>177</v>
      </c>
      <c r="AW764" s="63"/>
      <c r="DS764" s="26">
        <v>27.44</v>
      </c>
      <c r="DT764" s="26">
        <v>111.51</v>
      </c>
      <c r="DU764" s="26" t="s">
        <v>640</v>
      </c>
      <c r="FA764" s="26" t="s">
        <v>869</v>
      </c>
      <c r="FC764" s="26">
        <v>37</v>
      </c>
    </row>
    <row r="765" spans="1:159" s="38" customFormat="1" x14ac:dyDescent="0.25">
      <c r="A765" s="38">
        <v>38</v>
      </c>
      <c r="B765" s="38" t="s">
        <v>642</v>
      </c>
      <c r="C765" s="38" t="s">
        <v>643</v>
      </c>
      <c r="D765" s="38">
        <v>2005</v>
      </c>
      <c r="E765" s="38">
        <v>1999</v>
      </c>
      <c r="F765" s="38" t="s">
        <v>357</v>
      </c>
      <c r="G765" s="38" t="s">
        <v>644</v>
      </c>
      <c r="H765" s="38">
        <v>40.19</v>
      </c>
      <c r="I765" s="38">
        <v>-103.17</v>
      </c>
      <c r="J765" s="38">
        <v>1401.6</v>
      </c>
      <c r="P765" s="57" t="s">
        <v>179</v>
      </c>
      <c r="Q765" s="57"/>
      <c r="R765" s="57"/>
      <c r="S765" s="57" t="s">
        <v>1645</v>
      </c>
      <c r="T765" s="57" t="s">
        <v>1654</v>
      </c>
      <c r="X765" s="38" t="s">
        <v>168</v>
      </c>
      <c r="AC765" s="38" t="s">
        <v>645</v>
      </c>
      <c r="AD765" s="153" t="str">
        <f t="shared" si="213"/>
        <v>Grass</v>
      </c>
      <c r="AE765" s="38" t="s">
        <v>1636</v>
      </c>
      <c r="AG765" s="38" t="s">
        <v>688</v>
      </c>
      <c r="AH765" s="38" t="s">
        <v>660</v>
      </c>
      <c r="AI765" s="38" t="s">
        <v>618</v>
      </c>
      <c r="AJ765" s="38" t="s">
        <v>359</v>
      </c>
      <c r="AK765" s="38" t="s">
        <v>203</v>
      </c>
      <c r="AL765" s="38" t="s">
        <v>618</v>
      </c>
      <c r="AM765" s="38" t="s">
        <v>646</v>
      </c>
      <c r="AN765" s="38" t="s">
        <v>646</v>
      </c>
      <c r="AP765" s="38" t="s">
        <v>154</v>
      </c>
      <c r="AW765" s="64"/>
      <c r="CF765" s="38">
        <v>110</v>
      </c>
      <c r="CG765" s="38">
        <v>124</v>
      </c>
      <c r="DS765" s="12"/>
      <c r="DU765" s="15"/>
      <c r="DY765" s="38">
        <v>25.1</v>
      </c>
      <c r="DZ765" s="38">
        <v>24.9</v>
      </c>
      <c r="EA765" s="38" t="s">
        <v>690</v>
      </c>
      <c r="EH765" s="38">
        <f>0.077</f>
        <v>7.6999999999999999E-2</v>
      </c>
      <c r="EI765" s="38">
        <v>0.16200000000000001</v>
      </c>
      <c r="EJ765" s="38" t="s">
        <v>689</v>
      </c>
      <c r="EQ765" s="38">
        <f>(114+203)/2*0.614</f>
        <v>97.319000000000003</v>
      </c>
      <c r="ER765" s="38">
        <f>177*0.614</f>
        <v>108.678</v>
      </c>
      <c r="ET765" s="38">
        <f>29.7*0.614</f>
        <v>18.235799999999998</v>
      </c>
      <c r="EU765" s="38">
        <f>31.8*0.614</f>
        <v>19.525200000000002</v>
      </c>
      <c r="FA765" s="38" t="s">
        <v>870</v>
      </c>
      <c r="FC765" s="38">
        <v>38</v>
      </c>
    </row>
    <row r="766" spans="1:159" s="38" customFormat="1" x14ac:dyDescent="0.25">
      <c r="A766" s="38">
        <v>38</v>
      </c>
      <c r="B766" s="38" t="s">
        <v>642</v>
      </c>
      <c r="C766" s="38" t="s">
        <v>643</v>
      </c>
      <c r="D766" s="38">
        <v>2005</v>
      </c>
      <c r="E766" s="38">
        <v>1999</v>
      </c>
      <c r="F766" s="38" t="s">
        <v>357</v>
      </c>
      <c r="G766" s="38" t="s">
        <v>644</v>
      </c>
      <c r="H766" s="38">
        <v>40.19</v>
      </c>
      <c r="I766" s="38">
        <v>-103.17</v>
      </c>
      <c r="J766" s="38">
        <v>1401.6</v>
      </c>
      <c r="P766" s="57" t="s">
        <v>179</v>
      </c>
      <c r="Q766" s="57"/>
      <c r="R766" s="57"/>
      <c r="S766" s="57" t="s">
        <v>1646</v>
      </c>
      <c r="T766" s="57" t="s">
        <v>1654</v>
      </c>
      <c r="X766" s="38" t="s">
        <v>168</v>
      </c>
      <c r="AC766" s="38" t="s">
        <v>645</v>
      </c>
      <c r="AD766" s="153" t="str">
        <f t="shared" si="213"/>
        <v>Grass</v>
      </c>
      <c r="AE766" s="38" t="s">
        <v>1636</v>
      </c>
      <c r="AG766" s="38" t="s">
        <v>688</v>
      </c>
      <c r="AH766" s="38" t="s">
        <v>660</v>
      </c>
      <c r="AI766" s="38" t="s">
        <v>618</v>
      </c>
      <c r="AJ766" s="38" t="s">
        <v>359</v>
      </c>
      <c r="AK766" s="38" t="s">
        <v>203</v>
      </c>
      <c r="AL766" s="38" t="s">
        <v>618</v>
      </c>
      <c r="AM766" s="38" t="s">
        <v>646</v>
      </c>
      <c r="AN766" s="38" t="s">
        <v>646</v>
      </c>
      <c r="AP766" s="38" t="s">
        <v>154</v>
      </c>
      <c r="AW766" s="64"/>
      <c r="DS766" s="12"/>
      <c r="DU766" s="15"/>
      <c r="DY766" s="38">
        <v>9.1</v>
      </c>
      <c r="DZ766" s="38">
        <v>10</v>
      </c>
      <c r="EA766" s="38" t="s">
        <v>690</v>
      </c>
      <c r="EH766" s="38">
        <f>0.057</f>
        <v>5.7000000000000002E-2</v>
      </c>
      <c r="EI766" s="38">
        <v>5.2999999999999999E-2</v>
      </c>
      <c r="EJ766" s="38" t="s">
        <v>689</v>
      </c>
      <c r="EQ766" s="38">
        <f>114*0.614</f>
        <v>69.995999999999995</v>
      </c>
      <c r="ER766" s="38">
        <f>134*0.614</f>
        <v>82.275999999999996</v>
      </c>
      <c r="ET766" s="38">
        <f>15.8*0.614</f>
        <v>9.7012</v>
      </c>
      <c r="EU766" s="38">
        <f>15.8*0.614</f>
        <v>9.7012</v>
      </c>
      <c r="FA766" s="38" t="s">
        <v>870</v>
      </c>
      <c r="FC766" s="38">
        <v>38</v>
      </c>
    </row>
    <row r="767" spans="1:159" s="38" customFormat="1" x14ac:dyDescent="0.25">
      <c r="A767" s="38">
        <v>38</v>
      </c>
      <c r="B767" s="38" t="s">
        <v>642</v>
      </c>
      <c r="C767" s="38" t="s">
        <v>643</v>
      </c>
      <c r="D767" s="38">
        <v>2005</v>
      </c>
      <c r="E767" s="38">
        <v>1999</v>
      </c>
      <c r="F767" s="38" t="s">
        <v>357</v>
      </c>
      <c r="G767" s="38" t="s">
        <v>644</v>
      </c>
      <c r="H767" s="38">
        <v>40.19</v>
      </c>
      <c r="I767" s="38">
        <v>-103.17</v>
      </c>
      <c r="J767" s="38">
        <v>1401.6</v>
      </c>
      <c r="P767" s="57" t="s">
        <v>179</v>
      </c>
      <c r="Q767" s="57"/>
      <c r="R767" s="57"/>
      <c r="S767" s="57" t="s">
        <v>1655</v>
      </c>
      <c r="T767" s="57" t="s">
        <v>1654</v>
      </c>
      <c r="X767" s="38" t="s">
        <v>168</v>
      </c>
      <c r="AC767" s="38" t="s">
        <v>645</v>
      </c>
      <c r="AD767" s="153" t="str">
        <f t="shared" si="213"/>
        <v>Grass</v>
      </c>
      <c r="AE767" s="38" t="s">
        <v>1636</v>
      </c>
      <c r="AG767" s="38" t="s">
        <v>688</v>
      </c>
      <c r="AH767" s="38" t="s">
        <v>660</v>
      </c>
      <c r="AI767" s="38" t="s">
        <v>618</v>
      </c>
      <c r="AJ767" s="38" t="s">
        <v>359</v>
      </c>
      <c r="AK767" s="38" t="s">
        <v>203</v>
      </c>
      <c r="AL767" s="38" t="s">
        <v>618</v>
      </c>
      <c r="AM767" s="38" t="s">
        <v>646</v>
      </c>
      <c r="AN767" s="38" t="s">
        <v>646</v>
      </c>
      <c r="AP767" s="38" t="s">
        <v>154</v>
      </c>
      <c r="AW767" s="64"/>
      <c r="DS767" s="46"/>
      <c r="DU767" s="46"/>
      <c r="DY767" s="38">
        <v>23</v>
      </c>
      <c r="DZ767" s="38">
        <v>14.6</v>
      </c>
      <c r="EA767" s="38" t="s">
        <v>690</v>
      </c>
      <c r="EH767" s="38">
        <f>0.124</f>
        <v>0.124</v>
      </c>
      <c r="EI767" s="38">
        <v>0.05</v>
      </c>
      <c r="EJ767" s="38" t="s">
        <v>689</v>
      </c>
      <c r="EQ767" s="38">
        <f>203*0.614</f>
        <v>124.642</v>
      </c>
      <c r="ER767" s="38">
        <f>254*0.614</f>
        <v>155.95599999999999</v>
      </c>
      <c r="ET767" s="38">
        <f>28.1*0.614</f>
        <v>17.253399999999999</v>
      </c>
      <c r="EU767" s="38">
        <f>29.7*0.614</f>
        <v>18.235799999999998</v>
      </c>
      <c r="FA767" s="38" t="s">
        <v>870</v>
      </c>
      <c r="FC767" s="38">
        <v>38</v>
      </c>
    </row>
    <row r="768" spans="1:159" s="31" customFormat="1" x14ac:dyDescent="0.25">
      <c r="A768" s="31">
        <v>38</v>
      </c>
      <c r="B768" s="31" t="s">
        <v>642</v>
      </c>
      <c r="C768" s="31" t="s">
        <v>643</v>
      </c>
      <c r="D768" s="31">
        <v>2005</v>
      </c>
      <c r="E768" s="31">
        <v>1999</v>
      </c>
      <c r="F768" s="31" t="s">
        <v>357</v>
      </c>
      <c r="G768" s="31" t="s">
        <v>647</v>
      </c>
      <c r="H768" s="31">
        <v>44.34</v>
      </c>
      <c r="I768" s="31">
        <v>-96.82</v>
      </c>
      <c r="J768" s="31">
        <v>501</v>
      </c>
      <c r="P768" s="56" t="s">
        <v>179</v>
      </c>
      <c r="Q768" s="56"/>
      <c r="R768" s="56"/>
      <c r="S768" s="56" t="s">
        <v>1645</v>
      </c>
      <c r="T768" s="56" t="s">
        <v>1654</v>
      </c>
      <c r="X768" s="31" t="s">
        <v>635</v>
      </c>
      <c r="AC768" s="31" t="s">
        <v>148</v>
      </c>
      <c r="AD768" s="153" t="str">
        <f t="shared" si="213"/>
        <v>Legume</v>
      </c>
      <c r="AE768" s="31" t="s">
        <v>167</v>
      </c>
      <c r="AG768" s="31" t="s">
        <v>662</v>
      </c>
      <c r="AH768" s="31" t="s">
        <v>661</v>
      </c>
      <c r="AI768" s="31" t="s">
        <v>618</v>
      </c>
      <c r="AJ768" s="31" t="s">
        <v>648</v>
      </c>
      <c r="AK768" s="31" t="s">
        <v>648</v>
      </c>
      <c r="AL768" s="31" t="s">
        <v>230</v>
      </c>
      <c r="AM768" s="31" t="s">
        <v>658</v>
      </c>
      <c r="AN768" s="31">
        <v>0</v>
      </c>
      <c r="AO768" s="31" t="s">
        <v>618</v>
      </c>
      <c r="AP768" s="31" t="s">
        <v>154</v>
      </c>
      <c r="AW768" s="64"/>
      <c r="CF768" s="31">
        <v>491</v>
      </c>
      <c r="CG768" s="31">
        <v>495</v>
      </c>
      <c r="DS768" s="46"/>
      <c r="DU768" s="46"/>
      <c r="DY768" s="31">
        <v>26.3</v>
      </c>
      <c r="DZ768" s="31">
        <v>34.299999999999997</v>
      </c>
      <c r="EA768" s="31" t="s">
        <v>690</v>
      </c>
      <c r="EH768" s="31">
        <f>0.061</f>
        <v>6.0999999999999999E-2</v>
      </c>
      <c r="EI768" s="31">
        <v>4.8000000000000001E-2</v>
      </c>
      <c r="EJ768" s="31" t="s">
        <v>689</v>
      </c>
      <c r="EQ768" s="31">
        <f>331*0.614</f>
        <v>203.23400000000001</v>
      </c>
      <c r="ER768" s="31">
        <f>375*0.614</f>
        <v>230.25</v>
      </c>
      <c r="ET768" s="31">
        <f>34.6*0.614</f>
        <v>21.244399999999999</v>
      </c>
      <c r="EU768" s="31">
        <f>40.4*0.614</f>
        <v>24.805599999999998</v>
      </c>
      <c r="FA768" s="31" t="s">
        <v>870</v>
      </c>
      <c r="FC768" s="31">
        <v>38</v>
      </c>
    </row>
    <row r="769" spans="1:159" s="31" customFormat="1" x14ac:dyDescent="0.25">
      <c r="A769" s="31">
        <v>38</v>
      </c>
      <c r="B769" s="31" t="s">
        <v>642</v>
      </c>
      <c r="C769" s="31" t="s">
        <v>643</v>
      </c>
      <c r="D769" s="31">
        <v>2005</v>
      </c>
      <c r="E769" s="31">
        <v>1999</v>
      </c>
      <c r="F769" s="31" t="s">
        <v>357</v>
      </c>
      <c r="G769" s="31" t="s">
        <v>647</v>
      </c>
      <c r="H769" s="31">
        <v>44.34</v>
      </c>
      <c r="I769" s="31">
        <v>-96.82</v>
      </c>
      <c r="J769" s="31">
        <v>501</v>
      </c>
      <c r="P769" s="56" t="s">
        <v>179</v>
      </c>
      <c r="Q769" s="56"/>
      <c r="R769" s="56"/>
      <c r="S769" s="56" t="s">
        <v>1646</v>
      </c>
      <c r="T769" s="56" t="s">
        <v>1654</v>
      </c>
      <c r="X769" s="31" t="s">
        <v>635</v>
      </c>
      <c r="AC769" s="31" t="s">
        <v>148</v>
      </c>
      <c r="AD769" s="153" t="str">
        <f t="shared" si="213"/>
        <v>Legume</v>
      </c>
      <c r="AE769" s="31" t="s">
        <v>167</v>
      </c>
      <c r="AG769" s="31" t="s">
        <v>662</v>
      </c>
      <c r="AH769" s="31" t="s">
        <v>661</v>
      </c>
      <c r="AI769" s="31" t="s">
        <v>618</v>
      </c>
      <c r="AJ769" s="31" t="s">
        <v>648</v>
      </c>
      <c r="AK769" s="31" t="s">
        <v>648</v>
      </c>
      <c r="AL769" s="31" t="s">
        <v>230</v>
      </c>
      <c r="AM769" s="31" t="s">
        <v>658</v>
      </c>
      <c r="AN769" s="31">
        <v>0</v>
      </c>
      <c r="AO769" s="31" t="s">
        <v>618</v>
      </c>
      <c r="AP769" s="31" t="s">
        <v>154</v>
      </c>
      <c r="AW769" s="64"/>
      <c r="DS769" s="46"/>
      <c r="DU769" s="46"/>
      <c r="DY769" s="31">
        <v>17.8</v>
      </c>
      <c r="DZ769" s="31">
        <v>17.399999999999999</v>
      </c>
      <c r="EA769" s="31" t="s">
        <v>690</v>
      </c>
      <c r="EH769" s="31">
        <f>0.026</f>
        <v>2.5999999999999999E-2</v>
      </c>
      <c r="EI769" s="31">
        <v>2.7E-2</v>
      </c>
      <c r="EJ769" s="31" t="s">
        <v>689</v>
      </c>
      <c r="EQ769" s="31">
        <f>366*0.614</f>
        <v>224.72399999999999</v>
      </c>
      <c r="ER769" s="31">
        <f>380*0.614</f>
        <v>233.32</v>
      </c>
      <c r="ET769" s="31">
        <f>32.3*0.614</f>
        <v>19.832199999999997</v>
      </c>
      <c r="EU769" s="31">
        <f>31*0.614</f>
        <v>19.033999999999999</v>
      </c>
      <c r="FA769" s="31" t="s">
        <v>870</v>
      </c>
      <c r="FC769" s="31">
        <v>38</v>
      </c>
    </row>
    <row r="770" spans="1:159" s="31" customFormat="1" x14ac:dyDescent="0.25">
      <c r="A770" s="31">
        <v>38</v>
      </c>
      <c r="B770" s="31" t="s">
        <v>642</v>
      </c>
      <c r="C770" s="31" t="s">
        <v>643</v>
      </c>
      <c r="D770" s="31">
        <v>2005</v>
      </c>
      <c r="E770" s="31">
        <v>1999</v>
      </c>
      <c r="F770" s="31" t="s">
        <v>357</v>
      </c>
      <c r="G770" s="31" t="s">
        <v>647</v>
      </c>
      <c r="H770" s="31">
        <v>44.34</v>
      </c>
      <c r="I770" s="31">
        <v>-96.82</v>
      </c>
      <c r="J770" s="31">
        <v>501</v>
      </c>
      <c r="P770" s="56" t="s">
        <v>179</v>
      </c>
      <c r="Q770" s="56"/>
      <c r="R770" s="56"/>
      <c r="S770" s="56" t="s">
        <v>1655</v>
      </c>
      <c r="T770" s="56" t="s">
        <v>1654</v>
      </c>
      <c r="X770" s="31" t="s">
        <v>635</v>
      </c>
      <c r="AC770" s="31" t="s">
        <v>148</v>
      </c>
      <c r="AD770" s="153" t="str">
        <f t="shared" si="213"/>
        <v>Legume</v>
      </c>
      <c r="AE770" s="31" t="s">
        <v>167</v>
      </c>
      <c r="AG770" s="31" t="s">
        <v>662</v>
      </c>
      <c r="AH770" s="31" t="s">
        <v>661</v>
      </c>
      <c r="AI770" s="31" t="s">
        <v>618</v>
      </c>
      <c r="AJ770" s="31" t="s">
        <v>648</v>
      </c>
      <c r="AK770" s="31" t="s">
        <v>648</v>
      </c>
      <c r="AL770" s="31" t="s">
        <v>230</v>
      </c>
      <c r="AM770" s="31" t="s">
        <v>658</v>
      </c>
      <c r="AN770" s="31">
        <v>0</v>
      </c>
      <c r="AO770" s="31" t="s">
        <v>618</v>
      </c>
      <c r="AP770" s="31" t="s">
        <v>154</v>
      </c>
      <c r="AW770" s="64"/>
      <c r="DS770" s="46"/>
      <c r="DU770" s="46"/>
      <c r="DY770" s="31">
        <v>21.5</v>
      </c>
      <c r="DZ770" s="31">
        <v>21.5</v>
      </c>
      <c r="EA770" s="31" t="s">
        <v>690</v>
      </c>
      <c r="EH770" s="31">
        <v>0.02</v>
      </c>
      <c r="EI770" s="31">
        <v>2.1000000000000001E-2</v>
      </c>
      <c r="EJ770" s="31" t="s">
        <v>689</v>
      </c>
      <c r="EQ770" s="31">
        <f>548*0.614</f>
        <v>336.47199999999998</v>
      </c>
      <c r="ER770" s="31">
        <f>544*0.614</f>
        <v>334.01600000000002</v>
      </c>
      <c r="ET770" s="31">
        <f>57.8*0.614</f>
        <v>35.489199999999997</v>
      </c>
      <c r="EU770" s="31">
        <f>51.4*0.614</f>
        <v>31.5596</v>
      </c>
      <c r="FA770" s="31" t="s">
        <v>870</v>
      </c>
      <c r="FC770" s="31">
        <v>38</v>
      </c>
    </row>
    <row r="771" spans="1:159" s="38" customFormat="1" x14ac:dyDescent="0.25">
      <c r="A771" s="38">
        <v>38</v>
      </c>
      <c r="B771" s="38" t="s">
        <v>642</v>
      </c>
      <c r="C771" s="38" t="s">
        <v>643</v>
      </c>
      <c r="D771" s="38">
        <v>2005</v>
      </c>
      <c r="E771" s="38">
        <v>1999</v>
      </c>
      <c r="F771" s="38" t="s">
        <v>357</v>
      </c>
      <c r="G771" s="38" t="s">
        <v>659</v>
      </c>
      <c r="H771" s="38">
        <v>35.18</v>
      </c>
      <c r="I771" s="38">
        <v>-102.08</v>
      </c>
      <c r="J771" s="38">
        <v>1154</v>
      </c>
      <c r="P771" s="57" t="s">
        <v>179</v>
      </c>
      <c r="Q771" s="57"/>
      <c r="R771" s="57"/>
      <c r="S771" s="57" t="s">
        <v>1645</v>
      </c>
      <c r="T771" s="57" t="s">
        <v>1654</v>
      </c>
      <c r="X771" s="38" t="s">
        <v>675</v>
      </c>
      <c r="AC771" s="38" t="s">
        <v>1811</v>
      </c>
      <c r="AD771" s="153" t="str">
        <f t="shared" ref="AD771:AD834" si="221">IF(OR(AC771="*Rye",AC771="Rye*",AC771="Downy_brome"),"Rye",IF(OR(AC771="*Oat",AC771="Oat*",AC771="Trudan_8",AC771="*Wheat",AC771="Wheat*",AC771="Barley*",AC771="Hemp",AC771="Hemp",AC771="Triticale*",AC771="Grass",AC771="Millet"),"Grass",IF(OR(AC771="*clover",AC771="clover*",AC771="Vetch*",AC771="Vetch*",AC771="Alfalfa",AC771="Soybean",AC771="*Lentil",AC771="Lentil*",AC771="*Pea",AC771="Pea*",AC771="Lupine"),"Legume",AC771)))</f>
        <v>Winter_wheat</v>
      </c>
      <c r="AE771" s="38" t="s">
        <v>150</v>
      </c>
      <c r="AG771" s="38" t="s">
        <v>663</v>
      </c>
      <c r="AH771" s="38" t="s">
        <v>664</v>
      </c>
      <c r="AI771" s="38" t="s">
        <v>618</v>
      </c>
      <c r="AJ771" s="38" t="s">
        <v>203</v>
      </c>
      <c r="AK771" s="38" t="s">
        <v>203</v>
      </c>
      <c r="AL771" s="38" t="s">
        <v>230</v>
      </c>
      <c r="AM771" s="38" t="s">
        <v>646</v>
      </c>
      <c r="AN771" s="38">
        <v>0</v>
      </c>
      <c r="AO771" s="38" t="s">
        <v>618</v>
      </c>
      <c r="AP771" s="38" t="s">
        <v>154</v>
      </c>
      <c r="AW771" s="64"/>
      <c r="CF771" s="38">
        <v>377</v>
      </c>
      <c r="CG771" s="38">
        <v>456</v>
      </c>
      <c r="DS771" s="46"/>
      <c r="DU771" s="46"/>
      <c r="DY771" s="38">
        <v>17.600000000000001</v>
      </c>
      <c r="DZ771" s="38">
        <v>31.9</v>
      </c>
      <c r="EA771" s="38" t="s">
        <v>690</v>
      </c>
      <c r="EH771" s="38">
        <v>8.4000000000000005E-2</v>
      </c>
      <c r="EI771" s="38">
        <v>6.6000000000000003E-2</v>
      </c>
      <c r="EJ771" s="38" t="s">
        <v>689</v>
      </c>
      <c r="EQ771" s="38">
        <f>209*0.614</f>
        <v>128.32599999999999</v>
      </c>
      <c r="ER771" s="38">
        <f>331*0.614</f>
        <v>203.23400000000001</v>
      </c>
      <c r="ET771" s="38">
        <f>26.3*0.614</f>
        <v>16.148199999999999</v>
      </c>
      <c r="EU771" s="38">
        <f>37.1*0.614</f>
        <v>22.779399999999999</v>
      </c>
      <c r="FA771" s="38" t="s">
        <v>870</v>
      </c>
      <c r="FC771" s="38">
        <v>38</v>
      </c>
    </row>
    <row r="772" spans="1:159" s="38" customFormat="1" x14ac:dyDescent="0.25">
      <c r="A772" s="38">
        <v>38</v>
      </c>
      <c r="B772" s="38" t="s">
        <v>642</v>
      </c>
      <c r="C772" s="38" t="s">
        <v>643</v>
      </c>
      <c r="D772" s="38">
        <v>2005</v>
      </c>
      <c r="E772" s="38">
        <v>1999</v>
      </c>
      <c r="F772" s="38" t="s">
        <v>357</v>
      </c>
      <c r="G772" s="38" t="s">
        <v>659</v>
      </c>
      <c r="H772" s="38">
        <v>35.18</v>
      </c>
      <c r="I772" s="38">
        <v>-102.08</v>
      </c>
      <c r="J772" s="38">
        <v>1154</v>
      </c>
      <c r="P772" s="57" t="s">
        <v>179</v>
      </c>
      <c r="Q772" s="57"/>
      <c r="R772" s="57"/>
      <c r="S772" s="57" t="s">
        <v>1646</v>
      </c>
      <c r="T772" s="57" t="s">
        <v>1654</v>
      </c>
      <c r="X772" s="38" t="s">
        <v>675</v>
      </c>
      <c r="AC772" s="38" t="s">
        <v>1811</v>
      </c>
      <c r="AD772" s="153" t="str">
        <f t="shared" si="221"/>
        <v>Winter_wheat</v>
      </c>
      <c r="AE772" s="38" t="s">
        <v>150</v>
      </c>
      <c r="AG772" s="38" t="s">
        <v>663</v>
      </c>
      <c r="AH772" s="38" t="s">
        <v>664</v>
      </c>
      <c r="AI772" s="38" t="s">
        <v>618</v>
      </c>
      <c r="AJ772" s="38" t="s">
        <v>203</v>
      </c>
      <c r="AK772" s="38" t="s">
        <v>203</v>
      </c>
      <c r="AL772" s="38" t="s">
        <v>230</v>
      </c>
      <c r="AM772" s="38" t="s">
        <v>646</v>
      </c>
      <c r="AN772" s="38">
        <v>0</v>
      </c>
      <c r="AO772" s="38" t="s">
        <v>618</v>
      </c>
      <c r="AP772" s="38" t="s">
        <v>154</v>
      </c>
      <c r="AW772" s="64"/>
      <c r="DS772" s="46"/>
      <c r="DU772" s="46"/>
      <c r="DY772" s="38">
        <v>8</v>
      </c>
      <c r="DZ772" s="38">
        <v>10.4</v>
      </c>
      <c r="EA772" s="38" t="s">
        <v>690</v>
      </c>
      <c r="EH772" s="38">
        <v>2.5000000000000001E-2</v>
      </c>
      <c r="EI772" s="38">
        <v>2.7E-2</v>
      </c>
      <c r="EJ772" s="38" t="s">
        <v>689</v>
      </c>
      <c r="EQ772" s="38">
        <f>197*0.614</f>
        <v>120.958</v>
      </c>
      <c r="ER772" s="38">
        <f>223*0.614</f>
        <v>136.922</v>
      </c>
      <c r="ET772" s="38">
        <f>20.3*0.614</f>
        <v>12.4642</v>
      </c>
      <c r="EU772" s="38">
        <f>24.6*0.614</f>
        <v>15.1044</v>
      </c>
      <c r="FA772" s="38" t="s">
        <v>870</v>
      </c>
      <c r="FC772" s="38">
        <v>38</v>
      </c>
    </row>
    <row r="773" spans="1:159" s="38" customFormat="1" x14ac:dyDescent="0.25">
      <c r="A773" s="38">
        <v>38</v>
      </c>
      <c r="B773" s="38" t="s">
        <v>642</v>
      </c>
      <c r="C773" s="38" t="s">
        <v>643</v>
      </c>
      <c r="D773" s="38">
        <v>2005</v>
      </c>
      <c r="E773" s="38">
        <v>1999</v>
      </c>
      <c r="F773" s="38" t="s">
        <v>357</v>
      </c>
      <c r="G773" s="38" t="s">
        <v>659</v>
      </c>
      <c r="H773" s="38">
        <v>35.18</v>
      </c>
      <c r="I773" s="38">
        <v>-102.08</v>
      </c>
      <c r="J773" s="38">
        <v>1154</v>
      </c>
      <c r="P773" s="57" t="s">
        <v>179</v>
      </c>
      <c r="Q773" s="57"/>
      <c r="R773" s="57"/>
      <c r="S773" s="57" t="s">
        <v>1655</v>
      </c>
      <c r="T773" s="57" t="s">
        <v>1654</v>
      </c>
      <c r="X773" s="38" t="s">
        <v>675</v>
      </c>
      <c r="AC773" s="38" t="s">
        <v>1811</v>
      </c>
      <c r="AD773" s="153" t="str">
        <f t="shared" si="221"/>
        <v>Winter_wheat</v>
      </c>
      <c r="AE773" s="38" t="s">
        <v>150</v>
      </c>
      <c r="AG773" s="38" t="s">
        <v>663</v>
      </c>
      <c r="AH773" s="38" t="s">
        <v>664</v>
      </c>
      <c r="AI773" s="38" t="s">
        <v>618</v>
      </c>
      <c r="AJ773" s="38" t="s">
        <v>203</v>
      </c>
      <c r="AK773" s="38" t="s">
        <v>203</v>
      </c>
      <c r="AL773" s="38" t="s">
        <v>230</v>
      </c>
      <c r="AM773" s="38" t="s">
        <v>646</v>
      </c>
      <c r="AN773" s="38">
        <v>0</v>
      </c>
      <c r="AO773" s="38" t="s">
        <v>618</v>
      </c>
      <c r="AP773" s="38" t="s">
        <v>154</v>
      </c>
      <c r="AW773" s="64"/>
      <c r="DS773" s="46"/>
      <c r="DU773" s="46"/>
      <c r="DY773" s="38">
        <v>7.2</v>
      </c>
      <c r="DZ773" s="38">
        <v>12.3</v>
      </c>
      <c r="EA773" s="38" t="s">
        <v>690</v>
      </c>
      <c r="EH773" s="38">
        <v>0.03</v>
      </c>
      <c r="EI773" s="38">
        <v>7.2999999999999995E-2</v>
      </c>
      <c r="EJ773" s="38" t="s">
        <v>689</v>
      </c>
      <c r="EQ773" s="38">
        <f>305*0.614</f>
        <v>187.27</v>
      </c>
      <c r="ER773" s="38">
        <f>384*0.614</f>
        <v>235.77600000000001</v>
      </c>
      <c r="ET773" s="38">
        <f>35.5*0.614</f>
        <v>21.797000000000001</v>
      </c>
      <c r="EU773" s="38">
        <f>42.3*0.614</f>
        <v>25.972199999999997</v>
      </c>
      <c r="FA773" s="38" t="s">
        <v>870</v>
      </c>
      <c r="FC773" s="38">
        <v>38</v>
      </c>
    </row>
    <row r="774" spans="1:159" s="31" customFormat="1" x14ac:dyDescent="0.25">
      <c r="A774" s="31">
        <v>38</v>
      </c>
      <c r="B774" s="31" t="s">
        <v>642</v>
      </c>
      <c r="C774" s="31" t="s">
        <v>643</v>
      </c>
      <c r="D774" s="31">
        <v>2005</v>
      </c>
      <c r="E774" s="31">
        <v>1999</v>
      </c>
      <c r="F774" s="31" t="s">
        <v>357</v>
      </c>
      <c r="G774" s="31" t="s">
        <v>665</v>
      </c>
      <c r="H774" s="31">
        <v>46.89</v>
      </c>
      <c r="I774" s="31">
        <v>-96.78</v>
      </c>
      <c r="J774" s="31">
        <v>274.10000000000002</v>
      </c>
      <c r="P774" s="56" t="s">
        <v>179</v>
      </c>
      <c r="Q774" s="56"/>
      <c r="R774" s="56"/>
      <c r="S774" s="56" t="s">
        <v>1645</v>
      </c>
      <c r="T774" s="56" t="s">
        <v>1654</v>
      </c>
      <c r="X774" s="31" t="s">
        <v>666</v>
      </c>
      <c r="AC774" s="31" t="s">
        <v>500</v>
      </c>
      <c r="AD774" s="153" t="str">
        <f t="shared" si="221"/>
        <v>Pea</v>
      </c>
      <c r="AE774" s="31" t="s">
        <v>150</v>
      </c>
      <c r="AG774" s="31" t="s">
        <v>667</v>
      </c>
      <c r="AH774" s="31" t="s">
        <v>667</v>
      </c>
      <c r="AI774" s="31" t="s">
        <v>230</v>
      </c>
      <c r="AJ774" s="31" t="s">
        <v>203</v>
      </c>
      <c r="AK774" s="31" t="s">
        <v>668</v>
      </c>
      <c r="AL774" s="31" t="s">
        <v>618</v>
      </c>
      <c r="AM774" s="31">
        <v>0</v>
      </c>
      <c r="AN774" s="31">
        <v>0</v>
      </c>
      <c r="AO774" s="31" t="s">
        <v>230</v>
      </c>
      <c r="AP774" s="31" t="s">
        <v>154</v>
      </c>
      <c r="AW774" s="64"/>
      <c r="CF774" s="31">
        <v>739</v>
      </c>
      <c r="CG774" s="31">
        <v>832</v>
      </c>
      <c r="DS774" s="46"/>
      <c r="DU774" s="46"/>
      <c r="DY774" s="31">
        <v>14.4</v>
      </c>
      <c r="DZ774" s="31">
        <v>21.2</v>
      </c>
      <c r="EA774" s="31" t="s">
        <v>690</v>
      </c>
      <c r="EH774" s="31">
        <v>0.05</v>
      </c>
      <c r="EI774" s="31">
        <v>2.5000000000000001E-2</v>
      </c>
      <c r="EJ774" s="31" t="s">
        <v>689</v>
      </c>
      <c r="EQ774" s="31">
        <f>243*0.614</f>
        <v>149.202</v>
      </c>
      <c r="ER774" s="31">
        <f>491*0.614</f>
        <v>301.47399999999999</v>
      </c>
      <c r="ET774" s="31">
        <f>42*0.614</f>
        <v>25.788</v>
      </c>
      <c r="EU774" s="31">
        <f>62.6*0.614</f>
        <v>38.436399999999999</v>
      </c>
      <c r="FA774" s="31" t="s">
        <v>870</v>
      </c>
      <c r="FC774" s="31">
        <v>38</v>
      </c>
    </row>
    <row r="775" spans="1:159" s="31" customFormat="1" x14ac:dyDescent="0.25">
      <c r="A775" s="31">
        <v>38</v>
      </c>
      <c r="B775" s="31" t="s">
        <v>642</v>
      </c>
      <c r="C775" s="31" t="s">
        <v>643</v>
      </c>
      <c r="D775" s="31">
        <v>2005</v>
      </c>
      <c r="E775" s="31">
        <v>1999</v>
      </c>
      <c r="F775" s="31" t="s">
        <v>357</v>
      </c>
      <c r="G775" s="31" t="s">
        <v>665</v>
      </c>
      <c r="H775" s="31">
        <v>46.89</v>
      </c>
      <c r="I775" s="31">
        <v>-96.78</v>
      </c>
      <c r="J775" s="31">
        <v>274.10000000000002</v>
      </c>
      <c r="P775" s="56" t="s">
        <v>179</v>
      </c>
      <c r="Q775" s="56"/>
      <c r="R775" s="56"/>
      <c r="S775" s="56" t="s">
        <v>1646</v>
      </c>
      <c r="T775" s="56" t="s">
        <v>1654</v>
      </c>
      <c r="X775" s="31" t="s">
        <v>666</v>
      </c>
      <c r="AC775" s="31" t="s">
        <v>500</v>
      </c>
      <c r="AD775" s="153" t="str">
        <f t="shared" si="221"/>
        <v>Pea</v>
      </c>
      <c r="AE775" s="31" t="s">
        <v>150</v>
      </c>
      <c r="AG775" s="31" t="s">
        <v>667</v>
      </c>
      <c r="AH775" s="31" t="s">
        <v>667</v>
      </c>
      <c r="AI775" s="31" t="s">
        <v>230</v>
      </c>
      <c r="AJ775" s="31" t="s">
        <v>203</v>
      </c>
      <c r="AK775" s="31" t="s">
        <v>668</v>
      </c>
      <c r="AL775" s="31" t="s">
        <v>618</v>
      </c>
      <c r="AM775" s="31">
        <v>0</v>
      </c>
      <c r="AN775" s="31">
        <v>0</v>
      </c>
      <c r="AO775" s="31" t="s">
        <v>230</v>
      </c>
      <c r="AP775" s="31" t="s">
        <v>154</v>
      </c>
      <c r="AW775" s="64"/>
      <c r="DS775" s="46"/>
      <c r="DU775" s="46"/>
      <c r="DY775" s="31">
        <v>11.7</v>
      </c>
      <c r="DZ775" s="31">
        <v>10.1</v>
      </c>
      <c r="EA775" s="31" t="s">
        <v>690</v>
      </c>
      <c r="EH775" s="31">
        <v>2.3E-2</v>
      </c>
      <c r="EI775" s="31">
        <v>1.9E-2</v>
      </c>
      <c r="EJ775" s="31" t="s">
        <v>689</v>
      </c>
      <c r="EQ775" s="31">
        <f>259*0.614</f>
        <v>159.02600000000001</v>
      </c>
      <c r="ER775" s="31">
        <f>334*0.614</f>
        <v>205.07599999999999</v>
      </c>
      <c r="ET775" s="31">
        <f>42.9*0.614</f>
        <v>26.340599999999998</v>
      </c>
      <c r="EU775" s="31">
        <f>42.3*0.614</f>
        <v>25.972199999999997</v>
      </c>
      <c r="FA775" s="31" t="s">
        <v>870</v>
      </c>
      <c r="FC775" s="31">
        <v>38</v>
      </c>
    </row>
    <row r="776" spans="1:159" s="31" customFormat="1" x14ac:dyDescent="0.25">
      <c r="A776" s="31">
        <v>38</v>
      </c>
      <c r="B776" s="31" t="s">
        <v>642</v>
      </c>
      <c r="C776" s="31" t="s">
        <v>643</v>
      </c>
      <c r="D776" s="31">
        <v>2005</v>
      </c>
      <c r="E776" s="31">
        <v>1999</v>
      </c>
      <c r="F776" s="31" t="s">
        <v>357</v>
      </c>
      <c r="G776" s="31" t="s">
        <v>665</v>
      </c>
      <c r="H776" s="31">
        <v>46.89</v>
      </c>
      <c r="I776" s="31">
        <v>-96.78</v>
      </c>
      <c r="J776" s="31">
        <v>274.10000000000002</v>
      </c>
      <c r="P776" s="56" t="s">
        <v>179</v>
      </c>
      <c r="Q776" s="56"/>
      <c r="R776" s="56"/>
      <c r="S776" s="56" t="s">
        <v>1655</v>
      </c>
      <c r="T776" s="56" t="s">
        <v>1654</v>
      </c>
      <c r="X776" s="31" t="s">
        <v>666</v>
      </c>
      <c r="AC776" s="31" t="s">
        <v>500</v>
      </c>
      <c r="AD776" s="153" t="str">
        <f t="shared" si="221"/>
        <v>Pea</v>
      </c>
      <c r="AE776" s="31" t="s">
        <v>150</v>
      </c>
      <c r="AG776" s="31" t="s">
        <v>667</v>
      </c>
      <c r="AH776" s="31" t="s">
        <v>667</v>
      </c>
      <c r="AI776" s="31" t="s">
        <v>230</v>
      </c>
      <c r="AJ776" s="31" t="s">
        <v>203</v>
      </c>
      <c r="AK776" s="31" t="s">
        <v>668</v>
      </c>
      <c r="AL776" s="31" t="s">
        <v>618</v>
      </c>
      <c r="AM776" s="31">
        <v>0</v>
      </c>
      <c r="AN776" s="31">
        <v>0</v>
      </c>
      <c r="AO776" s="31" t="s">
        <v>230</v>
      </c>
      <c r="AP776" s="31" t="s">
        <v>154</v>
      </c>
      <c r="AW776" s="64"/>
      <c r="DS776" s="46"/>
      <c r="DU776" s="46"/>
      <c r="DY776" s="31">
        <v>12.9</v>
      </c>
      <c r="DZ776" s="31">
        <v>10.6</v>
      </c>
      <c r="EA776" s="31" t="s">
        <v>690</v>
      </c>
      <c r="EH776" s="31">
        <v>2.1000000000000001E-2</v>
      </c>
      <c r="EI776" s="31">
        <v>2.4E-2</v>
      </c>
      <c r="EJ776" s="31" t="s">
        <v>689</v>
      </c>
      <c r="EQ776" s="31">
        <f>391*0.614</f>
        <v>240.07399999999998</v>
      </c>
      <c r="ER776" s="31">
        <f>401*0.614</f>
        <v>246.214</v>
      </c>
      <c r="ET776" s="31">
        <f>64.9*0.614</f>
        <v>39.848600000000005</v>
      </c>
      <c r="EU776" s="31">
        <f>52*0.614</f>
        <v>31.928000000000001</v>
      </c>
      <c r="FA776" s="31" t="s">
        <v>870</v>
      </c>
      <c r="FC776" s="31">
        <v>38</v>
      </c>
    </row>
    <row r="777" spans="1:159" s="38" customFormat="1" x14ac:dyDescent="0.25">
      <c r="A777" s="38">
        <v>38</v>
      </c>
      <c r="B777" s="38" t="s">
        <v>642</v>
      </c>
      <c r="C777" s="38" t="s">
        <v>643</v>
      </c>
      <c r="D777" s="38">
        <v>2005</v>
      </c>
      <c r="E777" s="38">
        <v>1999</v>
      </c>
      <c r="F777" s="38" t="s">
        <v>357</v>
      </c>
      <c r="G777" s="38" t="s">
        <v>669</v>
      </c>
      <c r="H777" s="38">
        <v>46.84</v>
      </c>
      <c r="I777" s="38">
        <v>-100.91</v>
      </c>
      <c r="J777" s="38">
        <v>558.1</v>
      </c>
      <c r="P777" s="57" t="s">
        <v>179</v>
      </c>
      <c r="Q777" s="57"/>
      <c r="R777" s="57"/>
      <c r="S777" s="57" t="s">
        <v>1645</v>
      </c>
      <c r="T777" s="57" t="s">
        <v>1654</v>
      </c>
      <c r="X777" s="38" t="s">
        <v>168</v>
      </c>
      <c r="AC777" s="38" t="s">
        <v>670</v>
      </c>
      <c r="AD777" s="153" t="str">
        <f t="shared" si="221"/>
        <v>Sunflower</v>
      </c>
      <c r="AE777" s="38" t="s">
        <v>1637</v>
      </c>
      <c r="AG777" s="38" t="s">
        <v>671</v>
      </c>
      <c r="AH777" s="38" t="s">
        <v>672</v>
      </c>
      <c r="AI777" s="38" t="s">
        <v>618</v>
      </c>
      <c r="AJ777" s="38" t="s">
        <v>648</v>
      </c>
      <c r="AK777" s="38" t="s">
        <v>203</v>
      </c>
      <c r="AL777" s="38" t="s">
        <v>618</v>
      </c>
      <c r="AM777" s="38" t="s">
        <v>673</v>
      </c>
      <c r="AN777" s="38" t="s">
        <v>673</v>
      </c>
      <c r="AO777" s="38" t="s">
        <v>230</v>
      </c>
      <c r="AP777" s="38" t="s">
        <v>154</v>
      </c>
      <c r="AW777" s="64"/>
      <c r="CF777" s="38">
        <v>218</v>
      </c>
      <c r="CG777" s="38">
        <v>507</v>
      </c>
      <c r="DS777" s="46"/>
      <c r="DU777" s="46"/>
      <c r="DY777" s="38">
        <v>21.7</v>
      </c>
      <c r="DZ777" s="38">
        <v>35.6</v>
      </c>
      <c r="EA777" s="38" t="s">
        <v>690</v>
      </c>
      <c r="EH777" s="38">
        <v>4.4999999999999998E-2</v>
      </c>
      <c r="EI777" s="38">
        <v>4.8000000000000001E-2</v>
      </c>
      <c r="EJ777" s="38" t="s">
        <v>689</v>
      </c>
      <c r="EQ777" s="38">
        <f>297*0.614</f>
        <v>182.358</v>
      </c>
      <c r="ER777" s="38">
        <f>444*0.614</f>
        <v>272.61599999999999</v>
      </c>
      <c r="ET777" s="38">
        <f>30.9*0.614</f>
        <v>18.9726</v>
      </c>
      <c r="EU777" s="38">
        <f>49.2*0.614</f>
        <v>30.2088</v>
      </c>
      <c r="FA777" s="38" t="s">
        <v>870</v>
      </c>
      <c r="FC777" s="38">
        <v>38</v>
      </c>
    </row>
    <row r="778" spans="1:159" s="38" customFormat="1" x14ac:dyDescent="0.25">
      <c r="A778" s="38">
        <v>38</v>
      </c>
      <c r="B778" s="38" t="s">
        <v>642</v>
      </c>
      <c r="C778" s="38" t="s">
        <v>643</v>
      </c>
      <c r="D778" s="38">
        <v>2005</v>
      </c>
      <c r="E778" s="38">
        <v>1999</v>
      </c>
      <c r="F778" s="38" t="s">
        <v>357</v>
      </c>
      <c r="G778" s="38" t="s">
        <v>669</v>
      </c>
      <c r="H778" s="38">
        <v>46.84</v>
      </c>
      <c r="I778" s="38">
        <v>-100.91</v>
      </c>
      <c r="J778" s="38">
        <v>558.1</v>
      </c>
      <c r="P778" s="57" t="s">
        <v>179</v>
      </c>
      <c r="Q778" s="57"/>
      <c r="R778" s="57"/>
      <c r="S778" s="57" t="s">
        <v>1646</v>
      </c>
      <c r="T778" s="57" t="s">
        <v>1654</v>
      </c>
      <c r="X778" s="38" t="s">
        <v>168</v>
      </c>
      <c r="AC778" s="38" t="s">
        <v>670</v>
      </c>
      <c r="AD778" s="153" t="str">
        <f t="shared" si="221"/>
        <v>Sunflower</v>
      </c>
      <c r="AE778" s="38" t="s">
        <v>1637</v>
      </c>
      <c r="AG778" s="38" t="s">
        <v>671</v>
      </c>
      <c r="AH778" s="38" t="s">
        <v>672</v>
      </c>
      <c r="AI778" s="38" t="s">
        <v>618</v>
      </c>
      <c r="AJ778" s="38" t="s">
        <v>648</v>
      </c>
      <c r="AK778" s="38" t="s">
        <v>203</v>
      </c>
      <c r="AL778" s="38" t="s">
        <v>618</v>
      </c>
      <c r="AM778" s="38" t="s">
        <v>673</v>
      </c>
      <c r="AN778" s="38" t="s">
        <v>673</v>
      </c>
      <c r="AO778" s="38" t="s">
        <v>230</v>
      </c>
      <c r="AP778" s="38" t="s">
        <v>154</v>
      </c>
      <c r="AW778" s="64"/>
      <c r="DS778" s="46"/>
      <c r="DU778" s="46"/>
      <c r="DY778" s="38">
        <v>7.5</v>
      </c>
      <c r="DZ778" s="38">
        <v>19.7</v>
      </c>
      <c r="EA778" s="38" t="s">
        <v>690</v>
      </c>
      <c r="EH778" s="38">
        <v>2.3E-2</v>
      </c>
      <c r="EI778" s="38">
        <v>2.4E-2</v>
      </c>
      <c r="EJ778" s="38" t="s">
        <v>689</v>
      </c>
      <c r="EQ778" s="38">
        <f>213*0.614</f>
        <v>130.78200000000001</v>
      </c>
      <c r="ER778" s="38">
        <f>227*0.614</f>
        <v>139.37799999999999</v>
      </c>
      <c r="ET778" s="38">
        <f>16.8*0.614</f>
        <v>10.315200000000001</v>
      </c>
      <c r="EU778" s="38">
        <f>30.1*0.614</f>
        <v>18.481400000000001</v>
      </c>
      <c r="FA778" s="38" t="s">
        <v>870</v>
      </c>
      <c r="FC778" s="38">
        <v>38</v>
      </c>
    </row>
    <row r="779" spans="1:159" s="38" customFormat="1" x14ac:dyDescent="0.25">
      <c r="A779" s="38">
        <v>38</v>
      </c>
      <c r="B779" s="38" t="s">
        <v>642</v>
      </c>
      <c r="C779" s="38" t="s">
        <v>643</v>
      </c>
      <c r="D779" s="38">
        <v>2005</v>
      </c>
      <c r="E779" s="38">
        <v>1999</v>
      </c>
      <c r="F779" s="38" t="s">
        <v>357</v>
      </c>
      <c r="G779" s="38" t="s">
        <v>669</v>
      </c>
      <c r="H779" s="38">
        <v>46.84</v>
      </c>
      <c r="I779" s="38">
        <v>-100.91</v>
      </c>
      <c r="J779" s="38">
        <v>558.1</v>
      </c>
      <c r="P779" s="57" t="s">
        <v>179</v>
      </c>
      <c r="Q779" s="57"/>
      <c r="R779" s="57"/>
      <c r="S779" s="57" t="s">
        <v>1655</v>
      </c>
      <c r="T779" s="57" t="s">
        <v>1654</v>
      </c>
      <c r="X779" s="38" t="s">
        <v>168</v>
      </c>
      <c r="AC779" s="38" t="s">
        <v>670</v>
      </c>
      <c r="AD779" s="153" t="str">
        <f t="shared" si="221"/>
        <v>Sunflower</v>
      </c>
      <c r="AE779" s="38" t="s">
        <v>1637</v>
      </c>
      <c r="AG779" s="38" t="s">
        <v>671</v>
      </c>
      <c r="AH779" s="38" t="s">
        <v>672</v>
      </c>
      <c r="AI779" s="38" t="s">
        <v>618</v>
      </c>
      <c r="AJ779" s="38" t="s">
        <v>648</v>
      </c>
      <c r="AK779" s="38" t="s">
        <v>203</v>
      </c>
      <c r="AL779" s="38" t="s">
        <v>618</v>
      </c>
      <c r="AM779" s="38" t="s">
        <v>673</v>
      </c>
      <c r="AN779" s="38" t="s">
        <v>673</v>
      </c>
      <c r="AO779" s="38" t="s">
        <v>230</v>
      </c>
      <c r="AP779" s="38" t="s">
        <v>154</v>
      </c>
      <c r="AW779" s="64"/>
      <c r="DS779" s="46"/>
      <c r="DU779" s="46"/>
      <c r="DY779" s="38">
        <v>9</v>
      </c>
      <c r="DZ779" s="38">
        <v>15.7</v>
      </c>
      <c r="EA779" s="38" t="s">
        <v>690</v>
      </c>
      <c r="EH779" s="38">
        <v>2.3E-2</v>
      </c>
      <c r="EI779" s="38">
        <v>0.02</v>
      </c>
      <c r="EJ779" s="38" t="s">
        <v>689</v>
      </c>
      <c r="EQ779" s="38">
        <f>275*0.614</f>
        <v>168.85</v>
      </c>
      <c r="ER779" s="38">
        <f>453*0.614</f>
        <v>278.142</v>
      </c>
      <c r="ET779" s="38">
        <f>23.5*0.614</f>
        <v>14.429</v>
      </c>
      <c r="EU779" s="38">
        <f>36.5*0.614</f>
        <v>22.411000000000001</v>
      </c>
      <c r="FA779" s="38" t="s">
        <v>870</v>
      </c>
      <c r="FC779" s="38">
        <v>38</v>
      </c>
    </row>
    <row r="780" spans="1:159" s="31" customFormat="1" x14ac:dyDescent="0.25">
      <c r="A780" s="31">
        <v>38</v>
      </c>
      <c r="B780" s="31" t="s">
        <v>642</v>
      </c>
      <c r="C780" s="31" t="s">
        <v>643</v>
      </c>
      <c r="D780" s="31">
        <v>2005</v>
      </c>
      <c r="E780" s="31">
        <v>1999</v>
      </c>
      <c r="F780" s="31" t="s">
        <v>357</v>
      </c>
      <c r="G780" s="31" t="s">
        <v>674</v>
      </c>
      <c r="H780" s="31">
        <v>41.23</v>
      </c>
      <c r="I780" s="31">
        <v>-96.51</v>
      </c>
      <c r="J780" s="31">
        <v>365.7</v>
      </c>
      <c r="P780" s="56" t="s">
        <v>179</v>
      </c>
      <c r="Q780" s="56"/>
      <c r="R780" s="56"/>
      <c r="S780" s="56" t="s">
        <v>1645</v>
      </c>
      <c r="T780" s="56" t="s">
        <v>1654</v>
      </c>
      <c r="X780" s="31" t="s">
        <v>675</v>
      </c>
      <c r="AC780" s="31" t="s">
        <v>1801</v>
      </c>
      <c r="AD780" s="153" t="str">
        <f t="shared" si="221"/>
        <v>Oat/clover</v>
      </c>
      <c r="AE780" s="31" t="s">
        <v>167</v>
      </c>
      <c r="AG780" s="31" t="s">
        <v>662</v>
      </c>
      <c r="AH780" s="31" t="s">
        <v>676</v>
      </c>
      <c r="AI780" s="31" t="s">
        <v>618</v>
      </c>
      <c r="AJ780" s="31" t="s">
        <v>680</v>
      </c>
      <c r="AK780" s="31" t="s">
        <v>680</v>
      </c>
      <c r="AL780" s="31" t="s">
        <v>230</v>
      </c>
      <c r="AM780" s="31" t="s">
        <v>677</v>
      </c>
      <c r="AN780" s="31" t="s">
        <v>677</v>
      </c>
      <c r="AO780" s="31" t="s">
        <v>230</v>
      </c>
      <c r="AP780" s="31" t="s">
        <v>154</v>
      </c>
      <c r="AW780" s="64"/>
      <c r="CF780" s="31">
        <v>584</v>
      </c>
      <c r="CG780" s="31">
        <v>622</v>
      </c>
      <c r="DS780" s="46"/>
      <c r="DU780" s="46"/>
      <c r="DY780" s="31">
        <v>19.3</v>
      </c>
      <c r="DZ780" s="31">
        <v>29.5</v>
      </c>
      <c r="EA780" s="31" t="s">
        <v>690</v>
      </c>
      <c r="EH780" s="31">
        <v>7.1999999999999995E-2</v>
      </c>
      <c r="EI780" s="31">
        <v>6.2E-2</v>
      </c>
      <c r="EJ780" s="31" t="s">
        <v>689</v>
      </c>
      <c r="EQ780" s="31">
        <f>195*0.614</f>
        <v>119.73</v>
      </c>
      <c r="ER780" s="31">
        <f>324*0.614</f>
        <v>198.93600000000001</v>
      </c>
      <c r="ET780" s="31">
        <f>29.6*0.614</f>
        <v>18.174400000000002</v>
      </c>
      <c r="EU780" s="31">
        <f>36.7*0.614</f>
        <v>22.533800000000003</v>
      </c>
      <c r="FA780" s="31" t="s">
        <v>870</v>
      </c>
      <c r="FC780" s="31">
        <v>38</v>
      </c>
    </row>
    <row r="781" spans="1:159" s="31" customFormat="1" x14ac:dyDescent="0.25">
      <c r="A781" s="31">
        <v>38</v>
      </c>
      <c r="B781" s="31" t="s">
        <v>642</v>
      </c>
      <c r="C781" s="31" t="s">
        <v>643</v>
      </c>
      <c r="D781" s="31">
        <v>2005</v>
      </c>
      <c r="E781" s="31">
        <v>1999</v>
      </c>
      <c r="F781" s="31" t="s">
        <v>357</v>
      </c>
      <c r="G781" s="31" t="s">
        <v>674</v>
      </c>
      <c r="H781" s="31">
        <v>41.23</v>
      </c>
      <c r="I781" s="31">
        <v>-96.51</v>
      </c>
      <c r="J781" s="31">
        <v>365.7</v>
      </c>
      <c r="P781" s="56" t="s">
        <v>179</v>
      </c>
      <c r="Q781" s="56"/>
      <c r="R781" s="56"/>
      <c r="S781" s="56" t="s">
        <v>1646</v>
      </c>
      <c r="T781" s="56" t="s">
        <v>1654</v>
      </c>
      <c r="X781" s="31" t="s">
        <v>675</v>
      </c>
      <c r="AC781" s="31" t="s">
        <v>1801</v>
      </c>
      <c r="AD781" s="153" t="str">
        <f t="shared" si="221"/>
        <v>Oat/clover</v>
      </c>
      <c r="AE781" s="31" t="s">
        <v>167</v>
      </c>
      <c r="AG781" s="31" t="s">
        <v>662</v>
      </c>
      <c r="AH781" s="31" t="s">
        <v>676</v>
      </c>
      <c r="AI781" s="31" t="s">
        <v>618</v>
      </c>
      <c r="AJ781" s="31" t="s">
        <v>680</v>
      </c>
      <c r="AK781" s="31" t="s">
        <v>680</v>
      </c>
      <c r="AL781" s="31" t="s">
        <v>230</v>
      </c>
      <c r="AM781" s="31" t="s">
        <v>677</v>
      </c>
      <c r="AN781" s="31" t="s">
        <v>677</v>
      </c>
      <c r="AO781" s="31" t="s">
        <v>230</v>
      </c>
      <c r="AP781" s="31" t="s">
        <v>154</v>
      </c>
      <c r="AW781" s="64"/>
      <c r="DS781" s="46"/>
      <c r="DU781" s="46"/>
      <c r="DY781" s="31">
        <v>10.8</v>
      </c>
      <c r="DZ781" s="31">
        <v>11.3</v>
      </c>
      <c r="EA781" s="31" t="s">
        <v>690</v>
      </c>
      <c r="EH781" s="31">
        <v>0.04</v>
      </c>
      <c r="EI781" s="31">
        <v>3.1E-2</v>
      </c>
      <c r="EJ781" s="31" t="s">
        <v>689</v>
      </c>
      <c r="EQ781" s="31">
        <f>237*0.614</f>
        <v>145.518</v>
      </c>
      <c r="ER781" s="31">
        <f>272*0.614</f>
        <v>167.00800000000001</v>
      </c>
      <c r="ET781" s="31">
        <f>28.1*0.614</f>
        <v>17.253399999999999</v>
      </c>
      <c r="EU781" s="31">
        <f>32.2*0.614</f>
        <v>19.770800000000001</v>
      </c>
      <c r="FA781" s="31" t="s">
        <v>870</v>
      </c>
      <c r="FC781" s="31">
        <v>38</v>
      </c>
    </row>
    <row r="782" spans="1:159" s="31" customFormat="1" x14ac:dyDescent="0.25">
      <c r="A782" s="31">
        <v>38</v>
      </c>
      <c r="B782" s="31" t="s">
        <v>642</v>
      </c>
      <c r="C782" s="31" t="s">
        <v>643</v>
      </c>
      <c r="D782" s="31">
        <v>2005</v>
      </c>
      <c r="E782" s="31">
        <v>1999</v>
      </c>
      <c r="F782" s="31" t="s">
        <v>357</v>
      </c>
      <c r="G782" s="31" t="s">
        <v>674</v>
      </c>
      <c r="H782" s="31">
        <v>41.23</v>
      </c>
      <c r="I782" s="31">
        <v>-96.51</v>
      </c>
      <c r="J782" s="31">
        <v>365.7</v>
      </c>
      <c r="P782" s="56" t="s">
        <v>179</v>
      </c>
      <c r="Q782" s="56"/>
      <c r="R782" s="56"/>
      <c r="S782" s="56" t="s">
        <v>1655</v>
      </c>
      <c r="T782" s="56" t="s">
        <v>1654</v>
      </c>
      <c r="X782" s="31" t="s">
        <v>675</v>
      </c>
      <c r="AC782" s="31" t="s">
        <v>1801</v>
      </c>
      <c r="AD782" s="153" t="str">
        <f t="shared" si="221"/>
        <v>Oat/clover</v>
      </c>
      <c r="AE782" s="31" t="s">
        <v>167</v>
      </c>
      <c r="AG782" s="31" t="s">
        <v>662</v>
      </c>
      <c r="AH782" s="31" t="s">
        <v>676</v>
      </c>
      <c r="AI782" s="31" t="s">
        <v>618</v>
      </c>
      <c r="AJ782" s="31" t="s">
        <v>680</v>
      </c>
      <c r="AK782" s="31" t="s">
        <v>680</v>
      </c>
      <c r="AL782" s="31" t="s">
        <v>230</v>
      </c>
      <c r="AM782" s="31" t="s">
        <v>677</v>
      </c>
      <c r="AN782" s="31" t="s">
        <v>677</v>
      </c>
      <c r="AO782" s="31" t="s">
        <v>230</v>
      </c>
      <c r="AP782" s="31" t="s">
        <v>154</v>
      </c>
      <c r="AW782" s="64"/>
      <c r="DS782" s="46"/>
      <c r="DU782" s="46"/>
      <c r="DY782" s="31">
        <v>7.4</v>
      </c>
      <c r="DZ782" s="31">
        <v>7.9</v>
      </c>
      <c r="EA782" s="31" t="s">
        <v>690</v>
      </c>
      <c r="EH782" s="31">
        <v>2.7E-2</v>
      </c>
      <c r="EI782" s="31">
        <v>3.4000000000000002E-2</v>
      </c>
      <c r="EJ782" s="31" t="s">
        <v>689</v>
      </c>
      <c r="EQ782" s="31">
        <f>317*0.614</f>
        <v>194.63800000000001</v>
      </c>
      <c r="ER782" s="31">
        <f>284*0.614</f>
        <v>174.376</v>
      </c>
      <c r="ET782" s="31">
        <f>37.2*0.614</f>
        <v>22.840800000000002</v>
      </c>
      <c r="EU782" s="31">
        <f>31.5*0.614</f>
        <v>19.341000000000001</v>
      </c>
      <c r="FA782" s="31" t="s">
        <v>870</v>
      </c>
      <c r="FC782" s="31">
        <v>38</v>
      </c>
    </row>
    <row r="783" spans="1:159" s="38" customFormat="1" x14ac:dyDescent="0.25">
      <c r="A783" s="38">
        <v>38</v>
      </c>
      <c r="B783" s="38" t="s">
        <v>642</v>
      </c>
      <c r="C783" s="38" t="s">
        <v>643</v>
      </c>
      <c r="D783" s="38">
        <v>2005</v>
      </c>
      <c r="E783" s="38">
        <v>1999</v>
      </c>
      <c r="F783" s="38" t="s">
        <v>357</v>
      </c>
      <c r="G783" s="38" t="s">
        <v>678</v>
      </c>
      <c r="H783" s="38">
        <v>47.72</v>
      </c>
      <c r="I783" s="38">
        <v>-104.16</v>
      </c>
      <c r="J783" s="38">
        <v>589</v>
      </c>
      <c r="P783" s="57" t="s">
        <v>179</v>
      </c>
      <c r="Q783" s="57"/>
      <c r="R783" s="57"/>
      <c r="S783" s="57" t="s">
        <v>1645</v>
      </c>
      <c r="T783" s="57" t="s">
        <v>1654</v>
      </c>
      <c r="X783" s="38" t="s">
        <v>175</v>
      </c>
      <c r="AC783" s="38" t="s">
        <v>1820</v>
      </c>
      <c r="AD783" s="153" t="str">
        <f t="shared" si="221"/>
        <v>Spring_wheat</v>
      </c>
      <c r="AE783" s="38" t="s">
        <v>1643</v>
      </c>
      <c r="AG783" s="38" t="s">
        <v>671</v>
      </c>
      <c r="AH783" s="38" t="s">
        <v>679</v>
      </c>
      <c r="AI783" s="38" t="s">
        <v>618</v>
      </c>
      <c r="AJ783" s="38" t="s">
        <v>680</v>
      </c>
      <c r="AK783" s="38" t="s">
        <v>203</v>
      </c>
      <c r="AL783" s="38" t="s">
        <v>618</v>
      </c>
      <c r="AM783" s="38" t="s">
        <v>616</v>
      </c>
      <c r="AN783" s="38" t="s">
        <v>616</v>
      </c>
      <c r="AO783" s="38" t="s">
        <v>230</v>
      </c>
      <c r="AP783" s="38" t="s">
        <v>154</v>
      </c>
      <c r="AW783" s="64"/>
      <c r="CF783" s="38">
        <v>486</v>
      </c>
      <c r="CG783" s="38">
        <v>360</v>
      </c>
      <c r="DS783" s="46"/>
      <c r="DU783" s="46"/>
      <c r="DY783" s="38">
        <v>20.3</v>
      </c>
      <c r="DZ783" s="38">
        <v>20.399999999999999</v>
      </c>
      <c r="EA783" s="38" t="s">
        <v>690</v>
      </c>
      <c r="ET783" s="38">
        <f>24.3*0.614</f>
        <v>14.920199999999999</v>
      </c>
      <c r="EU783" s="38">
        <f>27.6*0.614</f>
        <v>16.946400000000001</v>
      </c>
      <c r="FA783" s="38" t="s">
        <v>870</v>
      </c>
      <c r="FC783" s="38">
        <v>38</v>
      </c>
    </row>
    <row r="784" spans="1:159" s="38" customFormat="1" x14ac:dyDescent="0.25">
      <c r="A784" s="38">
        <v>38</v>
      </c>
      <c r="B784" s="38" t="s">
        <v>642</v>
      </c>
      <c r="C784" s="38" t="s">
        <v>643</v>
      </c>
      <c r="D784" s="38">
        <v>2005</v>
      </c>
      <c r="E784" s="38">
        <v>1999</v>
      </c>
      <c r="F784" s="38" t="s">
        <v>357</v>
      </c>
      <c r="G784" s="38" t="s">
        <v>678</v>
      </c>
      <c r="H784" s="38">
        <v>47.72</v>
      </c>
      <c r="I784" s="38">
        <v>-104.16</v>
      </c>
      <c r="J784" s="38">
        <v>589</v>
      </c>
      <c r="P784" s="57" t="s">
        <v>179</v>
      </c>
      <c r="Q784" s="57"/>
      <c r="R784" s="57"/>
      <c r="S784" s="57" t="s">
        <v>1646</v>
      </c>
      <c r="T784" s="57" t="s">
        <v>1654</v>
      </c>
      <c r="X784" s="38" t="s">
        <v>175</v>
      </c>
      <c r="AC784" s="38" t="s">
        <v>1820</v>
      </c>
      <c r="AD784" s="153" t="str">
        <f t="shared" si="221"/>
        <v>Spring_wheat</v>
      </c>
      <c r="AE784" s="38" t="s">
        <v>1643</v>
      </c>
      <c r="AG784" s="38" t="s">
        <v>671</v>
      </c>
      <c r="AH784" s="38" t="s">
        <v>679</v>
      </c>
      <c r="AI784" s="38" t="s">
        <v>618</v>
      </c>
      <c r="AJ784" s="38" t="s">
        <v>680</v>
      </c>
      <c r="AK784" s="38" t="s">
        <v>203</v>
      </c>
      <c r="AL784" s="38" t="s">
        <v>618</v>
      </c>
      <c r="AM784" s="38" t="s">
        <v>616</v>
      </c>
      <c r="AN784" s="38" t="s">
        <v>616</v>
      </c>
      <c r="AO784" s="38" t="s">
        <v>230</v>
      </c>
      <c r="AP784" s="38" t="s">
        <v>154</v>
      </c>
      <c r="AW784" s="64"/>
      <c r="DS784" s="46"/>
      <c r="DU784" s="46"/>
      <c r="DY784" s="38">
        <v>8.5</v>
      </c>
      <c r="DZ784" s="38">
        <v>13</v>
      </c>
      <c r="EA784" s="38" t="s">
        <v>690</v>
      </c>
      <c r="EH784" s="38">
        <v>4.7E-2</v>
      </c>
      <c r="EI784" s="38">
        <v>5.2999999999999999E-2</v>
      </c>
      <c r="EJ784" s="38" t="s">
        <v>689</v>
      </c>
      <c r="EQ784" s="38">
        <f>208*0.614</f>
        <v>127.712</v>
      </c>
      <c r="ER784" s="38">
        <f>193*0.614</f>
        <v>118.502</v>
      </c>
      <c r="ET784" s="38">
        <f>21.8*0.614</f>
        <v>13.385200000000001</v>
      </c>
      <c r="EU784" s="38">
        <f>17.4*0.614</f>
        <v>10.683599999999998</v>
      </c>
      <c r="FA784" s="38" t="s">
        <v>870</v>
      </c>
      <c r="FC784" s="38">
        <v>38</v>
      </c>
    </row>
    <row r="785" spans="1:159" s="38" customFormat="1" x14ac:dyDescent="0.25">
      <c r="A785" s="38">
        <v>38</v>
      </c>
      <c r="B785" s="38" t="s">
        <v>642</v>
      </c>
      <c r="C785" s="38" t="s">
        <v>643</v>
      </c>
      <c r="D785" s="38">
        <v>2005</v>
      </c>
      <c r="E785" s="38">
        <v>1999</v>
      </c>
      <c r="F785" s="38" t="s">
        <v>357</v>
      </c>
      <c r="G785" s="38" t="s">
        <v>678</v>
      </c>
      <c r="H785" s="38">
        <v>47.72</v>
      </c>
      <c r="I785" s="38">
        <v>-104.16</v>
      </c>
      <c r="J785" s="38">
        <v>589</v>
      </c>
      <c r="P785" s="57" t="s">
        <v>179</v>
      </c>
      <c r="Q785" s="57"/>
      <c r="R785" s="57"/>
      <c r="S785" s="57" t="s">
        <v>1655</v>
      </c>
      <c r="T785" s="57" t="s">
        <v>1654</v>
      </c>
      <c r="X785" s="38" t="s">
        <v>175</v>
      </c>
      <c r="AC785" s="38" t="s">
        <v>1820</v>
      </c>
      <c r="AD785" s="153" t="str">
        <f t="shared" si="221"/>
        <v>Spring_wheat</v>
      </c>
      <c r="AE785" s="38" t="s">
        <v>1643</v>
      </c>
      <c r="AG785" s="38" t="s">
        <v>671</v>
      </c>
      <c r="AH785" s="38" t="s">
        <v>679</v>
      </c>
      <c r="AI785" s="38" t="s">
        <v>618</v>
      </c>
      <c r="AJ785" s="38" t="s">
        <v>680</v>
      </c>
      <c r="AK785" s="38" t="s">
        <v>203</v>
      </c>
      <c r="AL785" s="38" t="s">
        <v>618</v>
      </c>
      <c r="AM785" s="38" t="s">
        <v>616</v>
      </c>
      <c r="AN785" s="38" t="s">
        <v>616</v>
      </c>
      <c r="AO785" s="38" t="s">
        <v>230</v>
      </c>
      <c r="AP785" s="38" t="s">
        <v>154</v>
      </c>
      <c r="AW785" s="64"/>
      <c r="DS785" s="46"/>
      <c r="DU785" s="46"/>
      <c r="DY785" s="38">
        <v>6.3</v>
      </c>
      <c r="DZ785" s="38">
        <v>10.8</v>
      </c>
      <c r="EA785" s="38" t="s">
        <v>690</v>
      </c>
      <c r="EH785" s="38">
        <v>5.1999999999999998E-2</v>
      </c>
      <c r="EI785" s="38">
        <v>5.8000000000000003E-2</v>
      </c>
      <c r="EJ785" s="38" t="s">
        <v>689</v>
      </c>
      <c r="EQ785" s="38">
        <f>263*0.614</f>
        <v>161.482</v>
      </c>
      <c r="ER785" s="38">
        <f>211*0.614</f>
        <v>129.554</v>
      </c>
      <c r="ET785" s="38">
        <f>26.1*0.614</f>
        <v>16.025400000000001</v>
      </c>
      <c r="EU785" s="38">
        <f>20*0.614</f>
        <v>12.28</v>
      </c>
      <c r="FA785" s="38" t="s">
        <v>870</v>
      </c>
      <c r="FC785" s="38">
        <v>38</v>
      </c>
    </row>
    <row r="786" spans="1:159" s="31" customFormat="1" x14ac:dyDescent="0.25">
      <c r="A786" s="31">
        <v>38</v>
      </c>
      <c r="B786" s="31" t="s">
        <v>642</v>
      </c>
      <c r="C786" s="31" t="s">
        <v>643</v>
      </c>
      <c r="D786" s="31">
        <v>2005</v>
      </c>
      <c r="E786" s="31">
        <v>1999</v>
      </c>
      <c r="F786" s="31" t="s">
        <v>357</v>
      </c>
      <c r="G786" s="31" t="s">
        <v>681</v>
      </c>
      <c r="H786" s="31">
        <v>50.29</v>
      </c>
      <c r="I786" s="31">
        <v>-107.73</v>
      </c>
      <c r="J786" s="31">
        <v>781</v>
      </c>
      <c r="P786" s="56" t="s">
        <v>179</v>
      </c>
      <c r="Q786" s="56"/>
      <c r="R786" s="56"/>
      <c r="S786" s="56" t="s">
        <v>1645</v>
      </c>
      <c r="T786" s="56" t="s">
        <v>1654</v>
      </c>
      <c r="X786" s="31" t="s">
        <v>168</v>
      </c>
      <c r="AC786" s="31" t="s">
        <v>682</v>
      </c>
      <c r="AD786" s="153" t="str">
        <f t="shared" si="221"/>
        <v>Lentil</v>
      </c>
      <c r="AE786" s="31" t="s">
        <v>1643</v>
      </c>
      <c r="AG786" s="31" t="s">
        <v>671</v>
      </c>
      <c r="AH786" s="31" t="s">
        <v>683</v>
      </c>
      <c r="AI786" s="31" t="s">
        <v>618</v>
      </c>
      <c r="AJ786" s="31" t="s">
        <v>684</v>
      </c>
      <c r="AK786" s="31" t="s">
        <v>684</v>
      </c>
      <c r="AL786" s="31" t="s">
        <v>230</v>
      </c>
      <c r="AM786" s="31" t="s">
        <v>646</v>
      </c>
      <c r="AN786" s="31" t="s">
        <v>646</v>
      </c>
      <c r="AP786" s="31" t="s">
        <v>154</v>
      </c>
      <c r="AW786" s="64"/>
      <c r="CF786" s="31">
        <v>485</v>
      </c>
      <c r="CG786" s="31">
        <v>609</v>
      </c>
      <c r="DS786" s="46"/>
      <c r="DU786" s="46"/>
      <c r="DY786" s="31">
        <v>23.7</v>
      </c>
      <c r="DZ786" s="31">
        <v>45.8</v>
      </c>
      <c r="EA786" s="31" t="s">
        <v>690</v>
      </c>
      <c r="EH786" s="31">
        <v>5.7000000000000002E-2</v>
      </c>
      <c r="EI786" s="31">
        <v>8.6999999999999994E-2</v>
      </c>
      <c r="EJ786" s="31" t="s">
        <v>689</v>
      </c>
      <c r="EQ786" s="31">
        <f>288*0.614</f>
        <v>176.83199999999999</v>
      </c>
      <c r="ER786" s="31">
        <f>491*0.614</f>
        <v>301.47399999999999</v>
      </c>
      <c r="ET786" s="31">
        <f>32.8*0.614</f>
        <v>20.139199999999999</v>
      </c>
      <c r="EU786" s="31">
        <f>45.2*0.614</f>
        <v>27.752800000000001</v>
      </c>
      <c r="FA786" s="31" t="s">
        <v>870</v>
      </c>
      <c r="FC786" s="31">
        <v>38</v>
      </c>
    </row>
    <row r="787" spans="1:159" s="31" customFormat="1" x14ac:dyDescent="0.25">
      <c r="A787" s="31">
        <v>38</v>
      </c>
      <c r="B787" s="31" t="s">
        <v>642</v>
      </c>
      <c r="C787" s="31" t="s">
        <v>643</v>
      </c>
      <c r="D787" s="31">
        <v>2005</v>
      </c>
      <c r="E787" s="31">
        <v>1999</v>
      </c>
      <c r="F787" s="31" t="s">
        <v>357</v>
      </c>
      <c r="G787" s="31" t="s">
        <v>681</v>
      </c>
      <c r="H787" s="31">
        <v>50.29</v>
      </c>
      <c r="I787" s="31">
        <v>-107.73</v>
      </c>
      <c r="J787" s="31">
        <v>781</v>
      </c>
      <c r="P787" s="56" t="s">
        <v>179</v>
      </c>
      <c r="Q787" s="56"/>
      <c r="R787" s="56"/>
      <c r="S787" s="56" t="s">
        <v>1646</v>
      </c>
      <c r="T787" s="56" t="s">
        <v>1654</v>
      </c>
      <c r="X787" s="31" t="s">
        <v>168</v>
      </c>
      <c r="AC787" s="31" t="s">
        <v>682</v>
      </c>
      <c r="AD787" s="153" t="str">
        <f t="shared" si="221"/>
        <v>Lentil</v>
      </c>
      <c r="AE787" s="31" t="s">
        <v>1643</v>
      </c>
      <c r="AG787" s="31" t="s">
        <v>671</v>
      </c>
      <c r="AH787" s="31" t="s">
        <v>683</v>
      </c>
      <c r="AI787" s="31" t="s">
        <v>618</v>
      </c>
      <c r="AJ787" s="31" t="s">
        <v>684</v>
      </c>
      <c r="AK787" s="31" t="s">
        <v>684</v>
      </c>
      <c r="AL787" s="31" t="s">
        <v>230</v>
      </c>
      <c r="AM787" s="31" t="s">
        <v>646</v>
      </c>
      <c r="AN787" s="31" t="s">
        <v>646</v>
      </c>
      <c r="AP787" s="31" t="s">
        <v>154</v>
      </c>
      <c r="AW787" s="64"/>
      <c r="DS787" s="46"/>
      <c r="DU787" s="46"/>
      <c r="DY787" s="31">
        <v>14.2</v>
      </c>
      <c r="DZ787" s="31">
        <v>22.6</v>
      </c>
      <c r="EA787" s="31" t="s">
        <v>690</v>
      </c>
      <c r="EH787" s="31">
        <v>2.9000000000000001E-2</v>
      </c>
      <c r="EI787" s="31">
        <v>2.3E-2</v>
      </c>
      <c r="EJ787" s="31" t="s">
        <v>689</v>
      </c>
      <c r="EQ787" s="31">
        <f>227*0.614</f>
        <v>139.37799999999999</v>
      </c>
      <c r="ER787" s="31">
        <f>352*0.614</f>
        <v>216.12799999999999</v>
      </c>
      <c r="ET787" s="31">
        <f>23.3*0.614</f>
        <v>14.3062</v>
      </c>
      <c r="EU787" s="31">
        <f>35.6*0.614</f>
        <v>21.8584</v>
      </c>
      <c r="FA787" s="31" t="s">
        <v>870</v>
      </c>
      <c r="FC787" s="31">
        <v>38</v>
      </c>
    </row>
    <row r="788" spans="1:159" s="31" customFormat="1" x14ac:dyDescent="0.25">
      <c r="A788" s="31">
        <v>38</v>
      </c>
      <c r="B788" s="31" t="s">
        <v>642</v>
      </c>
      <c r="C788" s="31" t="s">
        <v>643</v>
      </c>
      <c r="D788" s="31">
        <v>2005</v>
      </c>
      <c r="E788" s="31">
        <v>1999</v>
      </c>
      <c r="F788" s="31" t="s">
        <v>357</v>
      </c>
      <c r="G788" s="31" t="s">
        <v>681</v>
      </c>
      <c r="H788" s="31">
        <v>50.29</v>
      </c>
      <c r="I788" s="31">
        <v>-107.73</v>
      </c>
      <c r="J788" s="31">
        <v>781</v>
      </c>
      <c r="P788" s="56" t="s">
        <v>179</v>
      </c>
      <c r="Q788" s="56"/>
      <c r="R788" s="56"/>
      <c r="S788" s="56" t="s">
        <v>1655</v>
      </c>
      <c r="T788" s="56" t="s">
        <v>1654</v>
      </c>
      <c r="X788" s="31" t="s">
        <v>168</v>
      </c>
      <c r="AC788" s="31" t="s">
        <v>682</v>
      </c>
      <c r="AD788" s="153" t="str">
        <f t="shared" si="221"/>
        <v>Lentil</v>
      </c>
      <c r="AE788" s="31" t="s">
        <v>1643</v>
      </c>
      <c r="AG788" s="31" t="s">
        <v>671</v>
      </c>
      <c r="AH788" s="31" t="s">
        <v>683</v>
      </c>
      <c r="AI788" s="31" t="s">
        <v>618</v>
      </c>
      <c r="AJ788" s="31" t="s">
        <v>684</v>
      </c>
      <c r="AK788" s="31" t="s">
        <v>684</v>
      </c>
      <c r="AL788" s="31" t="s">
        <v>230</v>
      </c>
      <c r="AM788" s="31" t="s">
        <v>646</v>
      </c>
      <c r="AN788" s="31" t="s">
        <v>646</v>
      </c>
      <c r="AP788" s="31" t="s">
        <v>154</v>
      </c>
      <c r="AW788" s="64"/>
      <c r="DS788" s="46"/>
      <c r="DU788" s="46"/>
      <c r="DY788" s="31">
        <v>12.5</v>
      </c>
      <c r="DZ788" s="31">
        <v>15.1</v>
      </c>
      <c r="EA788" s="31" t="s">
        <v>690</v>
      </c>
      <c r="EH788" s="31">
        <v>3.5000000000000003E-2</v>
      </c>
      <c r="EI788" s="31">
        <v>2.5999999999999999E-2</v>
      </c>
      <c r="EJ788" s="31" t="s">
        <v>689</v>
      </c>
      <c r="EQ788" s="31">
        <f>239*0.614</f>
        <v>146.74600000000001</v>
      </c>
      <c r="ER788" s="31">
        <f>320*0.614</f>
        <v>196.48</v>
      </c>
      <c r="ET788" s="31">
        <f>26.1*0.614</f>
        <v>16.025400000000001</v>
      </c>
      <c r="EU788" s="31">
        <f>45.1*0.614</f>
        <v>27.691400000000002</v>
      </c>
      <c r="FA788" s="31" t="s">
        <v>870</v>
      </c>
      <c r="FC788" s="31">
        <v>38</v>
      </c>
    </row>
    <row r="789" spans="1:159" s="42" customFormat="1" x14ac:dyDescent="0.25">
      <c r="A789" s="42">
        <v>39</v>
      </c>
      <c r="B789" s="42" t="s">
        <v>691</v>
      </c>
      <c r="C789" s="42" t="s">
        <v>692</v>
      </c>
      <c r="D789" s="42">
        <v>2006</v>
      </c>
      <c r="E789" s="42">
        <v>2004</v>
      </c>
      <c r="F789" s="42" t="s">
        <v>162</v>
      </c>
      <c r="G789" s="42" t="s">
        <v>771</v>
      </c>
      <c r="H789" s="42">
        <f t="shared" ref="H789:H796" si="222">41+26/60</f>
        <v>41.43333333333333</v>
      </c>
      <c r="I789" s="42">
        <f t="shared" ref="I789:I796" si="223">-85-23/60</f>
        <v>-85.38333333333334</v>
      </c>
      <c r="J789" s="42">
        <v>292.60000000000002</v>
      </c>
      <c r="P789" s="59" t="s">
        <v>179</v>
      </c>
      <c r="Q789" s="59"/>
      <c r="R789" s="59"/>
      <c r="S789" s="59" t="s">
        <v>1665</v>
      </c>
      <c r="T789" s="59" t="s">
        <v>1665</v>
      </c>
      <c r="X789" s="42" t="s">
        <v>569</v>
      </c>
      <c r="Y789" s="42">
        <v>6.1</v>
      </c>
      <c r="AB789" s="42" t="s">
        <v>1565</v>
      </c>
      <c r="AC789" s="42" t="s">
        <v>1793</v>
      </c>
      <c r="AD789" s="153" t="str">
        <f t="shared" si="221"/>
        <v>Rye/Rye</v>
      </c>
      <c r="AE789" s="42" t="s">
        <v>1634</v>
      </c>
      <c r="AG789" s="42" t="s">
        <v>697</v>
      </c>
      <c r="AH789" s="42" t="s">
        <v>696</v>
      </c>
      <c r="AI789" s="42" t="s">
        <v>618</v>
      </c>
      <c r="AJ789" s="42" t="s">
        <v>695</v>
      </c>
      <c r="AK789" s="42" t="s">
        <v>695</v>
      </c>
      <c r="AL789" s="42" t="s">
        <v>230</v>
      </c>
      <c r="AM789" s="42" t="s">
        <v>694</v>
      </c>
      <c r="AN789" s="42" t="s">
        <v>693</v>
      </c>
      <c r="AO789" s="42" t="s">
        <v>618</v>
      </c>
      <c r="AP789" s="42" t="s">
        <v>208</v>
      </c>
      <c r="AQ789" s="42">
        <v>4</v>
      </c>
      <c r="AR789" s="42">
        <v>4</v>
      </c>
      <c r="AS789" s="42" t="s">
        <v>177</v>
      </c>
      <c r="AW789" s="63"/>
      <c r="AX789" s="42" t="s">
        <v>699</v>
      </c>
      <c r="BH789" s="42">
        <v>1.2370000000000001</v>
      </c>
      <c r="BI789" s="42">
        <v>1.35</v>
      </c>
      <c r="BJ789" s="42" t="s">
        <v>211</v>
      </c>
      <c r="BK789" s="42">
        <v>1141</v>
      </c>
      <c r="BL789" s="42">
        <v>1277</v>
      </c>
      <c r="BM789" s="42" t="s">
        <v>292</v>
      </c>
      <c r="DS789" s="47"/>
      <c r="DU789" s="47"/>
      <c r="DV789" s="42">
        <f>2.314*1000</f>
        <v>2314</v>
      </c>
      <c r="DW789" s="42">
        <f>2.337*1000</f>
        <v>2337</v>
      </c>
      <c r="DX789" s="42" t="s">
        <v>701</v>
      </c>
      <c r="DY789" s="42">
        <v>152</v>
      </c>
      <c r="DZ789" s="42">
        <v>149</v>
      </c>
      <c r="EA789" s="42" t="s">
        <v>701</v>
      </c>
      <c r="FA789" s="42" t="s">
        <v>871</v>
      </c>
      <c r="FC789" s="42">
        <v>39</v>
      </c>
    </row>
    <row r="790" spans="1:159" s="42" customFormat="1" x14ac:dyDescent="0.25">
      <c r="A790" s="42">
        <v>39</v>
      </c>
      <c r="B790" s="42" t="s">
        <v>691</v>
      </c>
      <c r="C790" s="42" t="s">
        <v>692</v>
      </c>
      <c r="D790" s="42">
        <v>2006</v>
      </c>
      <c r="E790" s="42">
        <v>2004</v>
      </c>
      <c r="F790" s="42" t="s">
        <v>162</v>
      </c>
      <c r="G790" s="42" t="s">
        <v>771</v>
      </c>
      <c r="H790" s="42">
        <f t="shared" si="222"/>
        <v>41.43333333333333</v>
      </c>
      <c r="I790" s="42">
        <f t="shared" si="223"/>
        <v>-85.38333333333334</v>
      </c>
      <c r="J790" s="42">
        <v>292.60000000000002</v>
      </c>
      <c r="P790" s="59" t="s">
        <v>179</v>
      </c>
      <c r="Q790" s="59"/>
      <c r="R790" s="59"/>
      <c r="S790" s="59" t="s">
        <v>1665</v>
      </c>
      <c r="T790" s="59" t="s">
        <v>1665</v>
      </c>
      <c r="X790" s="42" t="s">
        <v>569</v>
      </c>
      <c r="Y790" s="42">
        <v>6.1</v>
      </c>
      <c r="AB790" s="42" t="s">
        <v>1565</v>
      </c>
      <c r="AC790" s="42" t="s">
        <v>1793</v>
      </c>
      <c r="AD790" s="153" t="str">
        <f t="shared" si="221"/>
        <v>Rye/Rye</v>
      </c>
      <c r="AE790" s="42" t="s">
        <v>1634</v>
      </c>
      <c r="AG790" s="42" t="s">
        <v>697</v>
      </c>
      <c r="AH790" s="42" t="s">
        <v>696</v>
      </c>
      <c r="AI790" s="42" t="s">
        <v>618</v>
      </c>
      <c r="AJ790" s="42" t="s">
        <v>695</v>
      </c>
      <c r="AK790" s="42" t="s">
        <v>695</v>
      </c>
      <c r="AL790" s="42" t="s">
        <v>230</v>
      </c>
      <c r="AM790" s="42" t="s">
        <v>694</v>
      </c>
      <c r="AN790" s="42" t="s">
        <v>698</v>
      </c>
      <c r="AO790" s="42" t="s">
        <v>618</v>
      </c>
      <c r="AP790" s="42" t="s">
        <v>208</v>
      </c>
      <c r="AQ790" s="42">
        <v>4</v>
      </c>
      <c r="AR790" s="42">
        <v>4</v>
      </c>
      <c r="AS790" s="42" t="s">
        <v>177</v>
      </c>
      <c r="AW790" s="63"/>
      <c r="AX790" s="42" t="s">
        <v>700</v>
      </c>
      <c r="BH790" s="42">
        <v>1.2370000000000001</v>
      </c>
      <c r="BI790" s="42">
        <v>1.4</v>
      </c>
      <c r="BJ790" s="42" t="s">
        <v>211</v>
      </c>
      <c r="BK790" s="42">
        <v>1141</v>
      </c>
      <c r="BL790" s="42">
        <v>1335</v>
      </c>
      <c r="BM790" s="42" t="s">
        <v>292</v>
      </c>
      <c r="DS790" s="47"/>
      <c r="DU790" s="47"/>
      <c r="DV790" s="42">
        <f>2.314*1000</f>
        <v>2314</v>
      </c>
      <c r="DW790" s="42">
        <f>1.719*1000</f>
        <v>1719</v>
      </c>
      <c r="DX790" s="42" t="s">
        <v>701</v>
      </c>
      <c r="DY790" s="42">
        <v>152</v>
      </c>
      <c r="DZ790" s="42">
        <v>107</v>
      </c>
      <c r="EA790" s="42" t="s">
        <v>701</v>
      </c>
      <c r="FA790" s="42" t="s">
        <v>871</v>
      </c>
      <c r="FC790" s="42">
        <v>39</v>
      </c>
    </row>
    <row r="791" spans="1:159" s="42" customFormat="1" x14ac:dyDescent="0.25">
      <c r="A791" s="42">
        <v>39</v>
      </c>
      <c r="B791" s="42" t="s">
        <v>691</v>
      </c>
      <c r="C791" s="42" t="s">
        <v>692</v>
      </c>
      <c r="D791" s="42">
        <v>2006</v>
      </c>
      <c r="E791" s="42">
        <v>2004</v>
      </c>
      <c r="F791" s="42" t="s">
        <v>162</v>
      </c>
      <c r="G791" s="42" t="s">
        <v>771</v>
      </c>
      <c r="H791" s="42">
        <f t="shared" si="222"/>
        <v>41.43333333333333</v>
      </c>
      <c r="I791" s="42">
        <f t="shared" si="223"/>
        <v>-85.38333333333334</v>
      </c>
      <c r="J791" s="42">
        <v>292.60000000000002</v>
      </c>
      <c r="P791" s="59" t="s">
        <v>179</v>
      </c>
      <c r="Q791" s="59"/>
      <c r="R791" s="59"/>
      <c r="S791" s="59" t="s">
        <v>1665</v>
      </c>
      <c r="T791" s="59" t="s">
        <v>1665</v>
      </c>
      <c r="X791" s="42" t="s">
        <v>569</v>
      </c>
      <c r="Y791" s="42">
        <v>6.1</v>
      </c>
      <c r="AB791" s="42" t="s">
        <v>1565</v>
      </c>
      <c r="AC791" s="42" t="s">
        <v>1793</v>
      </c>
      <c r="AD791" s="153" t="str">
        <f t="shared" si="221"/>
        <v>Rye/Rye</v>
      </c>
      <c r="AE791" s="42" t="s">
        <v>1634</v>
      </c>
      <c r="AG791" s="42" t="s">
        <v>697</v>
      </c>
      <c r="AH791" s="42" t="s">
        <v>696</v>
      </c>
      <c r="AI791" s="42" t="s">
        <v>618</v>
      </c>
      <c r="AJ791" s="42" t="s">
        <v>695</v>
      </c>
      <c r="AK791" s="42" t="s">
        <v>695</v>
      </c>
      <c r="AL791" s="42" t="s">
        <v>230</v>
      </c>
      <c r="AM791" s="42" t="s">
        <v>694</v>
      </c>
      <c r="AN791" s="42" t="s">
        <v>693</v>
      </c>
      <c r="AO791" s="42" t="s">
        <v>618</v>
      </c>
      <c r="AP791" s="42" t="s">
        <v>208</v>
      </c>
      <c r="AQ791" s="42">
        <v>4</v>
      </c>
      <c r="AR791" s="42">
        <v>4</v>
      </c>
      <c r="AS791" s="42" t="s">
        <v>177</v>
      </c>
      <c r="AW791" s="63"/>
      <c r="AX791" s="42" t="s">
        <v>699</v>
      </c>
      <c r="DS791" s="47"/>
      <c r="DU791" s="47"/>
      <c r="DV791" s="42">
        <v>2569</v>
      </c>
      <c r="DW791" s="42">
        <v>2642</v>
      </c>
      <c r="DX791" s="42" t="s">
        <v>702</v>
      </c>
      <c r="DY791" s="42">
        <v>162</v>
      </c>
      <c r="DZ791" s="42">
        <v>149</v>
      </c>
      <c r="EA791" s="42" t="s">
        <v>702</v>
      </c>
      <c r="FA791" s="42" t="s">
        <v>871</v>
      </c>
      <c r="FC791" s="42">
        <v>39</v>
      </c>
    </row>
    <row r="792" spans="1:159" s="42" customFormat="1" x14ac:dyDescent="0.25">
      <c r="A792" s="42">
        <v>39</v>
      </c>
      <c r="B792" s="42" t="s">
        <v>691</v>
      </c>
      <c r="C792" s="42" t="s">
        <v>692</v>
      </c>
      <c r="D792" s="42">
        <v>2006</v>
      </c>
      <c r="E792" s="42">
        <v>2004</v>
      </c>
      <c r="F792" s="42" t="s">
        <v>162</v>
      </c>
      <c r="G792" s="42" t="s">
        <v>771</v>
      </c>
      <c r="H792" s="42">
        <f t="shared" si="222"/>
        <v>41.43333333333333</v>
      </c>
      <c r="I792" s="42">
        <f t="shared" si="223"/>
        <v>-85.38333333333334</v>
      </c>
      <c r="J792" s="42">
        <v>292.60000000000002</v>
      </c>
      <c r="P792" s="59" t="s">
        <v>179</v>
      </c>
      <c r="Q792" s="59"/>
      <c r="R792" s="59"/>
      <c r="S792" s="59" t="s">
        <v>1665</v>
      </c>
      <c r="T792" s="59" t="s">
        <v>1665</v>
      </c>
      <c r="X792" s="42" t="s">
        <v>569</v>
      </c>
      <c r="Y792" s="42">
        <v>6.1</v>
      </c>
      <c r="AB792" s="42" t="s">
        <v>1565</v>
      </c>
      <c r="AC792" s="42" t="s">
        <v>1793</v>
      </c>
      <c r="AD792" s="153" t="str">
        <f t="shared" si="221"/>
        <v>Rye/Rye</v>
      </c>
      <c r="AE792" s="42" t="s">
        <v>1634</v>
      </c>
      <c r="AG792" s="42" t="s">
        <v>697</v>
      </c>
      <c r="AH792" s="42" t="s">
        <v>696</v>
      </c>
      <c r="AI792" s="42" t="s">
        <v>618</v>
      </c>
      <c r="AJ792" s="42" t="s">
        <v>695</v>
      </c>
      <c r="AK792" s="42" t="s">
        <v>695</v>
      </c>
      <c r="AL792" s="42" t="s">
        <v>230</v>
      </c>
      <c r="AM792" s="42" t="s">
        <v>694</v>
      </c>
      <c r="AN792" s="42" t="s">
        <v>698</v>
      </c>
      <c r="AO792" s="42" t="s">
        <v>618</v>
      </c>
      <c r="AP792" s="42" t="s">
        <v>208</v>
      </c>
      <c r="AQ792" s="42">
        <v>4</v>
      </c>
      <c r="AR792" s="42">
        <v>4</v>
      </c>
      <c r="AS792" s="42" t="s">
        <v>177</v>
      </c>
      <c r="AW792" s="63"/>
      <c r="AX792" s="42" t="s">
        <v>700</v>
      </c>
      <c r="DS792" s="47"/>
      <c r="DU792" s="47"/>
      <c r="DV792" s="42">
        <v>2569</v>
      </c>
      <c r="DW792" s="42">
        <v>2061</v>
      </c>
      <c r="DX792" s="42" t="s">
        <v>702</v>
      </c>
      <c r="DY792" s="42">
        <v>162</v>
      </c>
      <c r="DZ792" s="42">
        <v>133</v>
      </c>
      <c r="EA792" s="42" t="s">
        <v>702</v>
      </c>
      <c r="FA792" s="42" t="s">
        <v>871</v>
      </c>
      <c r="FC792" s="42">
        <v>39</v>
      </c>
    </row>
    <row r="793" spans="1:159" s="42" customFormat="1" x14ac:dyDescent="0.25">
      <c r="A793" s="42">
        <v>39</v>
      </c>
      <c r="B793" s="42" t="s">
        <v>691</v>
      </c>
      <c r="C793" s="42" t="s">
        <v>692</v>
      </c>
      <c r="D793" s="42">
        <v>2006</v>
      </c>
      <c r="E793" s="42">
        <v>2004</v>
      </c>
      <c r="F793" s="42" t="s">
        <v>162</v>
      </c>
      <c r="G793" s="42" t="s">
        <v>771</v>
      </c>
      <c r="H793" s="42">
        <f t="shared" si="222"/>
        <v>41.43333333333333</v>
      </c>
      <c r="I793" s="42">
        <f t="shared" si="223"/>
        <v>-85.38333333333334</v>
      </c>
      <c r="J793" s="42">
        <v>292.60000000000002</v>
      </c>
      <c r="P793" s="59" t="s">
        <v>179</v>
      </c>
      <c r="Q793" s="59"/>
      <c r="R793" s="59"/>
      <c r="S793" s="59" t="s">
        <v>1665</v>
      </c>
      <c r="T793" s="59" t="s">
        <v>1665</v>
      </c>
      <c r="X793" s="42" t="s">
        <v>569</v>
      </c>
      <c r="Y793" s="42">
        <v>6.1</v>
      </c>
      <c r="AB793" s="42" t="s">
        <v>1565</v>
      </c>
      <c r="AC793" s="42" t="s">
        <v>1793</v>
      </c>
      <c r="AD793" s="153" t="str">
        <f t="shared" si="221"/>
        <v>Rye/Rye</v>
      </c>
      <c r="AE793" s="42" t="s">
        <v>1634</v>
      </c>
      <c r="AG793" s="42" t="s">
        <v>697</v>
      </c>
      <c r="AH793" s="42" t="s">
        <v>696</v>
      </c>
      <c r="AI793" s="42" t="s">
        <v>618</v>
      </c>
      <c r="AJ793" s="42" t="s">
        <v>695</v>
      </c>
      <c r="AK793" s="42" t="s">
        <v>695</v>
      </c>
      <c r="AL793" s="42" t="s">
        <v>230</v>
      </c>
      <c r="AM793" s="42" t="s">
        <v>694</v>
      </c>
      <c r="AN793" s="42" t="s">
        <v>693</v>
      </c>
      <c r="AO793" s="42" t="s">
        <v>618</v>
      </c>
      <c r="AP793" s="42" t="s">
        <v>208</v>
      </c>
      <c r="AQ793" s="42">
        <v>4</v>
      </c>
      <c r="AR793" s="42">
        <v>4</v>
      </c>
      <c r="AS793" s="42" t="s">
        <v>177</v>
      </c>
      <c r="AW793" s="63"/>
      <c r="AX793" s="42" t="s">
        <v>699</v>
      </c>
      <c r="DS793" s="47"/>
      <c r="DU793" s="47"/>
      <c r="DV793" s="42">
        <v>645</v>
      </c>
      <c r="DW793" s="42">
        <v>700</v>
      </c>
      <c r="DX793" s="42" t="s">
        <v>703</v>
      </c>
      <c r="DY793" s="42">
        <v>39</v>
      </c>
      <c r="DZ793" s="42">
        <v>39</v>
      </c>
      <c r="EA793" s="42" t="s">
        <v>703</v>
      </c>
      <c r="FA793" s="42" t="s">
        <v>871</v>
      </c>
      <c r="FC793" s="42">
        <v>39</v>
      </c>
    </row>
    <row r="794" spans="1:159" s="42" customFormat="1" x14ac:dyDescent="0.25">
      <c r="A794" s="42">
        <v>39</v>
      </c>
      <c r="B794" s="42" t="s">
        <v>691</v>
      </c>
      <c r="C794" s="42" t="s">
        <v>692</v>
      </c>
      <c r="D794" s="42">
        <v>2006</v>
      </c>
      <c r="E794" s="42">
        <v>2004</v>
      </c>
      <c r="F794" s="42" t="s">
        <v>162</v>
      </c>
      <c r="G794" s="42" t="s">
        <v>771</v>
      </c>
      <c r="H794" s="42">
        <f t="shared" si="222"/>
        <v>41.43333333333333</v>
      </c>
      <c r="I794" s="42">
        <f t="shared" si="223"/>
        <v>-85.38333333333334</v>
      </c>
      <c r="J794" s="42">
        <v>292.60000000000002</v>
      </c>
      <c r="P794" s="59" t="s">
        <v>179</v>
      </c>
      <c r="Q794" s="59"/>
      <c r="R794" s="59"/>
      <c r="S794" s="59" t="s">
        <v>1665</v>
      </c>
      <c r="T794" s="59" t="s">
        <v>1665</v>
      </c>
      <c r="X794" s="42" t="s">
        <v>569</v>
      </c>
      <c r="Y794" s="42">
        <v>6.1</v>
      </c>
      <c r="AB794" s="42" t="s">
        <v>1565</v>
      </c>
      <c r="AC794" s="42" t="s">
        <v>1793</v>
      </c>
      <c r="AD794" s="153" t="str">
        <f t="shared" si="221"/>
        <v>Rye/Rye</v>
      </c>
      <c r="AE794" s="42" t="s">
        <v>1634</v>
      </c>
      <c r="AG794" s="42" t="s">
        <v>697</v>
      </c>
      <c r="AH794" s="42" t="s">
        <v>696</v>
      </c>
      <c r="AI794" s="42" t="s">
        <v>618</v>
      </c>
      <c r="AJ794" s="42" t="s">
        <v>695</v>
      </c>
      <c r="AK794" s="42" t="s">
        <v>695</v>
      </c>
      <c r="AL794" s="42" t="s">
        <v>230</v>
      </c>
      <c r="AM794" s="42" t="s">
        <v>694</v>
      </c>
      <c r="AN794" s="42" t="s">
        <v>698</v>
      </c>
      <c r="AO794" s="42" t="s">
        <v>618</v>
      </c>
      <c r="AP794" s="42" t="s">
        <v>208</v>
      </c>
      <c r="AQ794" s="42">
        <v>4</v>
      </c>
      <c r="AR794" s="42">
        <v>4</v>
      </c>
      <c r="AS794" s="42" t="s">
        <v>177</v>
      </c>
      <c r="AW794" s="63"/>
      <c r="AX794" s="42" t="s">
        <v>700</v>
      </c>
      <c r="DS794" s="47"/>
      <c r="DU794" s="47"/>
      <c r="DV794" s="42">
        <v>645</v>
      </c>
      <c r="DW794" s="42">
        <v>523</v>
      </c>
      <c r="DX794" s="42" t="s">
        <v>703</v>
      </c>
      <c r="DY794" s="42">
        <v>39</v>
      </c>
      <c r="DZ794" s="42">
        <v>27</v>
      </c>
      <c r="EA794" s="42" t="s">
        <v>703</v>
      </c>
      <c r="FA794" s="42" t="s">
        <v>871</v>
      </c>
      <c r="FC794" s="42">
        <v>39</v>
      </c>
    </row>
    <row r="795" spans="1:159" s="42" customFormat="1" x14ac:dyDescent="0.25">
      <c r="A795" s="42">
        <v>39</v>
      </c>
      <c r="B795" s="42" t="s">
        <v>691</v>
      </c>
      <c r="C795" s="42" t="s">
        <v>692</v>
      </c>
      <c r="D795" s="42">
        <v>2006</v>
      </c>
      <c r="E795" s="42">
        <v>2004</v>
      </c>
      <c r="F795" s="42" t="s">
        <v>162</v>
      </c>
      <c r="G795" s="42" t="s">
        <v>771</v>
      </c>
      <c r="H795" s="42">
        <f t="shared" si="222"/>
        <v>41.43333333333333</v>
      </c>
      <c r="I795" s="42">
        <f t="shared" si="223"/>
        <v>-85.38333333333334</v>
      </c>
      <c r="J795" s="42">
        <v>292.60000000000002</v>
      </c>
      <c r="P795" s="59" t="s">
        <v>179</v>
      </c>
      <c r="Q795" s="59"/>
      <c r="R795" s="59"/>
      <c r="S795" s="59" t="s">
        <v>1665</v>
      </c>
      <c r="T795" s="59" t="s">
        <v>1665</v>
      </c>
      <c r="X795" s="42" t="s">
        <v>569</v>
      </c>
      <c r="Y795" s="42">
        <v>6.1</v>
      </c>
      <c r="AB795" s="42" t="s">
        <v>1565</v>
      </c>
      <c r="AC795" s="42" t="s">
        <v>1793</v>
      </c>
      <c r="AD795" s="153" t="str">
        <f t="shared" si="221"/>
        <v>Rye/Rye</v>
      </c>
      <c r="AE795" s="42" t="s">
        <v>1634</v>
      </c>
      <c r="AG795" s="42" t="s">
        <v>697</v>
      </c>
      <c r="AH795" s="42" t="s">
        <v>696</v>
      </c>
      <c r="AI795" s="42" t="s">
        <v>618</v>
      </c>
      <c r="AJ795" s="42" t="s">
        <v>695</v>
      </c>
      <c r="AK795" s="42" t="s">
        <v>695</v>
      </c>
      <c r="AL795" s="42" t="s">
        <v>230</v>
      </c>
      <c r="AM795" s="42" t="s">
        <v>694</v>
      </c>
      <c r="AN795" s="42" t="s">
        <v>693</v>
      </c>
      <c r="AO795" s="42" t="s">
        <v>618</v>
      </c>
      <c r="AP795" s="42" t="s">
        <v>208</v>
      </c>
      <c r="AQ795" s="42">
        <v>4</v>
      </c>
      <c r="AR795" s="42">
        <v>4</v>
      </c>
      <c r="AS795" s="42" t="s">
        <v>177</v>
      </c>
      <c r="AW795" s="63"/>
      <c r="AX795" s="42" t="s">
        <v>699</v>
      </c>
      <c r="DS795" s="47"/>
      <c r="DU795" s="47"/>
      <c r="DV795" s="42">
        <v>437</v>
      </c>
      <c r="DW795" s="42">
        <v>399</v>
      </c>
      <c r="DX795" s="42" t="s">
        <v>704</v>
      </c>
      <c r="DY795" s="42">
        <v>32</v>
      </c>
      <c r="DZ795" s="42">
        <v>30</v>
      </c>
      <c r="EA795" s="42" t="s">
        <v>704</v>
      </c>
      <c r="FA795" s="42" t="s">
        <v>871</v>
      </c>
      <c r="FC795" s="42">
        <v>39</v>
      </c>
    </row>
    <row r="796" spans="1:159" s="42" customFormat="1" x14ac:dyDescent="0.25">
      <c r="A796" s="42">
        <v>39</v>
      </c>
      <c r="B796" s="42" t="s">
        <v>691</v>
      </c>
      <c r="C796" s="42" t="s">
        <v>692</v>
      </c>
      <c r="D796" s="42">
        <v>2006</v>
      </c>
      <c r="E796" s="42">
        <v>2004</v>
      </c>
      <c r="F796" s="42" t="s">
        <v>162</v>
      </c>
      <c r="G796" s="42" t="s">
        <v>771</v>
      </c>
      <c r="H796" s="42">
        <f t="shared" si="222"/>
        <v>41.43333333333333</v>
      </c>
      <c r="I796" s="42">
        <f t="shared" si="223"/>
        <v>-85.38333333333334</v>
      </c>
      <c r="J796" s="42">
        <v>292.60000000000002</v>
      </c>
      <c r="P796" s="59" t="s">
        <v>179</v>
      </c>
      <c r="Q796" s="59"/>
      <c r="R796" s="59"/>
      <c r="S796" s="59" t="s">
        <v>1665</v>
      </c>
      <c r="T796" s="59" t="s">
        <v>1665</v>
      </c>
      <c r="X796" s="42" t="s">
        <v>569</v>
      </c>
      <c r="Y796" s="42">
        <v>6.1</v>
      </c>
      <c r="AB796" s="42" t="s">
        <v>1565</v>
      </c>
      <c r="AC796" s="42" t="s">
        <v>1793</v>
      </c>
      <c r="AD796" s="153" t="str">
        <f t="shared" si="221"/>
        <v>Rye/Rye</v>
      </c>
      <c r="AE796" s="42" t="s">
        <v>1634</v>
      </c>
      <c r="AG796" s="42" t="s">
        <v>697</v>
      </c>
      <c r="AH796" s="42" t="s">
        <v>696</v>
      </c>
      <c r="AI796" s="42" t="s">
        <v>618</v>
      </c>
      <c r="AJ796" s="42" t="s">
        <v>695</v>
      </c>
      <c r="AK796" s="42" t="s">
        <v>695</v>
      </c>
      <c r="AL796" s="42" t="s">
        <v>230</v>
      </c>
      <c r="AM796" s="42" t="s">
        <v>694</v>
      </c>
      <c r="AN796" s="42" t="s">
        <v>698</v>
      </c>
      <c r="AO796" s="42" t="s">
        <v>618</v>
      </c>
      <c r="AP796" s="42" t="s">
        <v>208</v>
      </c>
      <c r="AQ796" s="42">
        <v>4</v>
      </c>
      <c r="AR796" s="42">
        <v>4</v>
      </c>
      <c r="AS796" s="42" t="s">
        <v>177</v>
      </c>
      <c r="AW796" s="63"/>
      <c r="AX796" s="42" t="s">
        <v>700</v>
      </c>
      <c r="DS796" s="47"/>
      <c r="DU796" s="47"/>
      <c r="DV796" s="42">
        <v>437</v>
      </c>
      <c r="DW796" s="42">
        <v>388</v>
      </c>
      <c r="DX796" s="42" t="s">
        <v>704</v>
      </c>
      <c r="DY796" s="42">
        <v>32</v>
      </c>
      <c r="DZ796" s="42">
        <v>29</v>
      </c>
      <c r="EA796" s="42" t="s">
        <v>704</v>
      </c>
      <c r="FA796" s="42" t="s">
        <v>871</v>
      </c>
      <c r="FC796" s="42">
        <v>39</v>
      </c>
    </row>
    <row r="797" spans="1:159" s="38" customFormat="1" x14ac:dyDescent="0.25">
      <c r="A797" s="38">
        <v>40</v>
      </c>
      <c r="B797" s="38" t="s">
        <v>706</v>
      </c>
      <c r="C797" s="38" t="s">
        <v>707</v>
      </c>
      <c r="D797" s="38">
        <v>2015</v>
      </c>
      <c r="E797" s="38">
        <v>2013</v>
      </c>
      <c r="F797" s="38" t="s">
        <v>162</v>
      </c>
      <c r="G797" s="38" t="s">
        <v>719</v>
      </c>
      <c r="H797" s="38">
        <v>35.619999999999997</v>
      </c>
      <c r="I797" s="38">
        <v>-88.85</v>
      </c>
      <c r="J797" s="38">
        <v>107.7</v>
      </c>
      <c r="N797" s="38">
        <v>1375</v>
      </c>
      <c r="P797" s="57" t="s">
        <v>207</v>
      </c>
      <c r="Q797" s="57"/>
      <c r="R797" s="57"/>
      <c r="S797" s="57" t="s">
        <v>1645</v>
      </c>
      <c r="T797" s="57" t="s">
        <v>1645</v>
      </c>
      <c r="U797" s="38">
        <f t="shared" ref="U797:U802" si="224">(1.4+1.39+1.43)/3</f>
        <v>1.4066666666666665</v>
      </c>
      <c r="X797" s="38" t="s">
        <v>168</v>
      </c>
      <c r="AB797" s="38" t="s">
        <v>1573</v>
      </c>
      <c r="AC797" s="38" t="s">
        <v>301</v>
      </c>
      <c r="AD797" s="153" t="str">
        <f t="shared" si="221"/>
        <v>Vetch</v>
      </c>
      <c r="AE797" s="38" t="s">
        <v>709</v>
      </c>
      <c r="AP797" s="38" t="s">
        <v>208</v>
      </c>
      <c r="AQ797" s="38">
        <v>4</v>
      </c>
      <c r="AR797" s="38">
        <v>4</v>
      </c>
      <c r="AS797" s="38" t="s">
        <v>404</v>
      </c>
      <c r="AW797" s="64"/>
      <c r="AX797" s="38" t="s">
        <v>708</v>
      </c>
      <c r="BB797" s="38">
        <v>1375</v>
      </c>
      <c r="BC797" s="38">
        <v>1608</v>
      </c>
      <c r="BE797" s="38">
        <v>1.43</v>
      </c>
      <c r="BF797" s="38">
        <v>1.4</v>
      </c>
      <c r="BH797" s="38">
        <f>0.35*2</f>
        <v>0.7</v>
      </c>
      <c r="BI797" s="38">
        <f>0.44*2</f>
        <v>0.88</v>
      </c>
      <c r="BJ797" s="38" t="s">
        <v>1385</v>
      </c>
      <c r="BN797" s="38">
        <v>101.62</v>
      </c>
      <c r="BO797" s="38">
        <v>78.61</v>
      </c>
      <c r="BQ797" s="38">
        <v>233.55</v>
      </c>
      <c r="BR797" s="38">
        <v>199.67</v>
      </c>
      <c r="BT797" s="38">
        <v>5.44</v>
      </c>
      <c r="BU797" s="38">
        <v>5.4</v>
      </c>
      <c r="BW797" s="38" t="s">
        <v>777</v>
      </c>
      <c r="BX797" s="38" t="s">
        <v>777</v>
      </c>
      <c r="DG797" s="38">
        <v>21.08</v>
      </c>
      <c r="DH797" s="38">
        <v>23.69</v>
      </c>
      <c r="DS797" s="46">
        <v>27.94</v>
      </c>
      <c r="DT797" s="38">
        <v>28.6</v>
      </c>
      <c r="DU797" s="46" t="s">
        <v>710</v>
      </c>
      <c r="EH797" s="38">
        <f>4.45*0.0441</f>
        <v>0.196245</v>
      </c>
      <c r="EI797" s="38">
        <f>6.24*0.0441</f>
        <v>0.27518399999999998</v>
      </c>
      <c r="EQ797" s="38">
        <v>336.42</v>
      </c>
      <c r="ER797" s="38">
        <v>400.79</v>
      </c>
      <c r="ET797" s="38">
        <v>78.03</v>
      </c>
      <c r="EU797" s="38">
        <v>99.31</v>
      </c>
      <c r="EW797" s="38">
        <v>99999</v>
      </c>
      <c r="EX797" s="38">
        <v>99999</v>
      </c>
      <c r="FA797" s="38" t="s">
        <v>740</v>
      </c>
      <c r="FB797" s="38" t="s">
        <v>1107</v>
      </c>
      <c r="FC797" s="38">
        <v>40</v>
      </c>
    </row>
    <row r="798" spans="1:159" s="38" customFormat="1" x14ac:dyDescent="0.25">
      <c r="A798" s="38">
        <v>40</v>
      </c>
      <c r="B798" s="38" t="s">
        <v>706</v>
      </c>
      <c r="C798" s="38" t="s">
        <v>707</v>
      </c>
      <c r="D798" s="38">
        <v>2015</v>
      </c>
      <c r="E798" s="38">
        <v>2013</v>
      </c>
      <c r="F798" s="38" t="s">
        <v>162</v>
      </c>
      <c r="G798" s="38" t="s">
        <v>719</v>
      </c>
      <c r="H798" s="38">
        <v>35.619999999999997</v>
      </c>
      <c r="I798" s="38">
        <v>-88.85</v>
      </c>
      <c r="J798" s="38">
        <v>107.7</v>
      </c>
      <c r="N798" s="38">
        <v>1375</v>
      </c>
      <c r="P798" s="57" t="s">
        <v>207</v>
      </c>
      <c r="Q798" s="57"/>
      <c r="R798" s="57"/>
      <c r="S798" s="57" t="s">
        <v>1645</v>
      </c>
      <c r="T798" s="57" t="s">
        <v>1645</v>
      </c>
      <c r="U798" s="38">
        <f t="shared" si="224"/>
        <v>1.4066666666666665</v>
      </c>
      <c r="X798" s="38" t="s">
        <v>168</v>
      </c>
      <c r="AB798" s="38" t="s">
        <v>1573</v>
      </c>
      <c r="AC798" s="38" t="s">
        <v>150</v>
      </c>
      <c r="AD798" s="153" t="str">
        <f t="shared" si="221"/>
        <v>Wheat</v>
      </c>
      <c r="AE798" s="38" t="s">
        <v>709</v>
      </c>
      <c r="AP798" s="38" t="s">
        <v>208</v>
      </c>
      <c r="AQ798" s="38">
        <v>4</v>
      </c>
      <c r="AR798" s="38">
        <v>4</v>
      </c>
      <c r="AS798" s="38" t="s">
        <v>404</v>
      </c>
      <c r="AW798" s="64"/>
      <c r="AX798" s="38" t="s">
        <v>708</v>
      </c>
      <c r="BB798" s="38">
        <v>1375</v>
      </c>
      <c r="BC798" s="38">
        <v>1344</v>
      </c>
      <c r="BE798" s="38">
        <v>1.43</v>
      </c>
      <c r="BF798" s="38">
        <v>1.39</v>
      </c>
      <c r="BH798" s="38">
        <f>0.35*2</f>
        <v>0.7</v>
      </c>
      <c r="BI798" s="38">
        <f>0.38*2</f>
        <v>0.76</v>
      </c>
      <c r="BJ798" s="38" t="s">
        <v>1385</v>
      </c>
      <c r="BN798" s="38">
        <v>101.62</v>
      </c>
      <c r="BO798" s="38">
        <v>99.5</v>
      </c>
      <c r="BQ798" s="38">
        <v>233.55</v>
      </c>
      <c r="BR798" s="38">
        <v>224.88</v>
      </c>
      <c r="BT798" s="38">
        <v>5.44</v>
      </c>
      <c r="BU798" s="38">
        <v>5.51</v>
      </c>
      <c r="BW798" s="38" t="s">
        <v>777</v>
      </c>
      <c r="BX798" s="38" t="s">
        <v>777</v>
      </c>
      <c r="DG798" s="38">
        <v>21.08</v>
      </c>
      <c r="DH798" s="38">
        <v>21.44</v>
      </c>
      <c r="DS798" s="46">
        <v>27.94</v>
      </c>
      <c r="DT798" s="38">
        <v>28.41</v>
      </c>
      <c r="DU798" s="46" t="s">
        <v>710</v>
      </c>
      <c r="EH798" s="38">
        <f>4.45*0.0441</f>
        <v>0.196245</v>
      </c>
      <c r="EI798" s="38">
        <f>4.42*0.0441</f>
        <v>0.19492200000000001</v>
      </c>
      <c r="EQ798" s="38">
        <v>336.42</v>
      </c>
      <c r="ER798" s="38">
        <v>351.74</v>
      </c>
      <c r="ET798" s="38">
        <v>78.03</v>
      </c>
      <c r="EU798" s="38">
        <v>78.819999999999993</v>
      </c>
      <c r="EW798" s="38">
        <v>99999</v>
      </c>
      <c r="EX798" s="38">
        <v>99999</v>
      </c>
      <c r="FA798" s="38" t="s">
        <v>740</v>
      </c>
      <c r="FB798" s="38" t="s">
        <v>1107</v>
      </c>
      <c r="FC798" s="38">
        <v>40</v>
      </c>
    </row>
    <row r="799" spans="1:159" s="31" customFormat="1" x14ac:dyDescent="0.25">
      <c r="A799" s="31">
        <v>40</v>
      </c>
      <c r="B799" s="31" t="s">
        <v>706</v>
      </c>
      <c r="C799" s="31" t="s">
        <v>707</v>
      </c>
      <c r="D799" s="31">
        <v>2015</v>
      </c>
      <c r="E799" s="31">
        <v>2013</v>
      </c>
      <c r="F799" s="31" t="s">
        <v>162</v>
      </c>
      <c r="G799" s="31" t="s">
        <v>719</v>
      </c>
      <c r="H799" s="31">
        <v>35.619999999999997</v>
      </c>
      <c r="I799" s="31">
        <v>-88.85</v>
      </c>
      <c r="J799" s="31">
        <v>107.7</v>
      </c>
      <c r="N799" s="31">
        <v>1375</v>
      </c>
      <c r="P799" s="56" t="s">
        <v>207</v>
      </c>
      <c r="Q799" s="56"/>
      <c r="R799" s="56"/>
      <c r="S799" s="56" t="s">
        <v>1645</v>
      </c>
      <c r="T799" s="56" t="s">
        <v>1645</v>
      </c>
      <c r="U799" s="31">
        <f t="shared" si="224"/>
        <v>1.4066666666666665</v>
      </c>
      <c r="X799" s="31" t="s">
        <v>168</v>
      </c>
      <c r="AB799" s="31" t="s">
        <v>1573</v>
      </c>
      <c r="AC799" s="31" t="s">
        <v>301</v>
      </c>
      <c r="AD799" s="153" t="str">
        <f t="shared" si="221"/>
        <v>Vetch</v>
      </c>
      <c r="AE799" s="31" t="s">
        <v>709</v>
      </c>
      <c r="AJ799" s="31" t="s">
        <v>203</v>
      </c>
      <c r="AK799" s="31" t="s">
        <v>203</v>
      </c>
      <c r="AL799" s="31" t="s">
        <v>230</v>
      </c>
      <c r="AM799" s="31">
        <v>0</v>
      </c>
      <c r="AN799" s="31">
        <v>0</v>
      </c>
      <c r="AO799" s="31" t="s">
        <v>230</v>
      </c>
      <c r="AP799" s="31" t="s">
        <v>208</v>
      </c>
      <c r="AQ799" s="31">
        <v>4</v>
      </c>
      <c r="AR799" s="31">
        <v>4</v>
      </c>
      <c r="AS799" s="31" t="s">
        <v>404</v>
      </c>
      <c r="AX799" s="31" t="s">
        <v>708</v>
      </c>
      <c r="BH799" s="31">
        <f>9.98/10</f>
        <v>0.998</v>
      </c>
      <c r="BI799" s="31">
        <f>0.1*13.37</f>
        <v>1.337</v>
      </c>
      <c r="BJ799" s="31" t="s">
        <v>1394</v>
      </c>
      <c r="BK799" s="31">
        <v>1.07</v>
      </c>
      <c r="BL799" s="31">
        <v>1.41</v>
      </c>
      <c r="BW799" s="31" t="s">
        <v>777</v>
      </c>
      <c r="BX799" s="31" t="s">
        <v>777</v>
      </c>
      <c r="DS799" s="31">
        <v>98.5</v>
      </c>
      <c r="DT799" s="31">
        <v>70.16</v>
      </c>
      <c r="DU799" s="31" t="s">
        <v>711</v>
      </c>
      <c r="EW799" s="31">
        <v>99999</v>
      </c>
      <c r="EX799" s="38">
        <v>99999</v>
      </c>
      <c r="FA799" s="31" t="s">
        <v>740</v>
      </c>
      <c r="FB799" s="31" t="s">
        <v>1107</v>
      </c>
      <c r="FC799" s="31">
        <v>40</v>
      </c>
    </row>
    <row r="800" spans="1:159" s="31" customFormat="1" x14ac:dyDescent="0.25">
      <c r="A800" s="31">
        <v>40</v>
      </c>
      <c r="B800" s="31" t="s">
        <v>706</v>
      </c>
      <c r="C800" s="31" t="s">
        <v>707</v>
      </c>
      <c r="D800" s="31">
        <v>2015</v>
      </c>
      <c r="E800" s="31">
        <v>2013</v>
      </c>
      <c r="F800" s="31" t="s">
        <v>162</v>
      </c>
      <c r="G800" s="31" t="s">
        <v>719</v>
      </c>
      <c r="H800" s="31">
        <v>35.619999999999997</v>
      </c>
      <c r="I800" s="31">
        <v>-88.85</v>
      </c>
      <c r="J800" s="31">
        <v>107.7</v>
      </c>
      <c r="N800" s="31">
        <v>1375</v>
      </c>
      <c r="P800" s="56" t="s">
        <v>207</v>
      </c>
      <c r="Q800" s="56"/>
      <c r="R800" s="56"/>
      <c r="S800" s="56" t="s">
        <v>1645</v>
      </c>
      <c r="T800" s="56" t="s">
        <v>1645</v>
      </c>
      <c r="U800" s="31">
        <f t="shared" si="224"/>
        <v>1.4066666666666665</v>
      </c>
      <c r="X800" s="31" t="s">
        <v>168</v>
      </c>
      <c r="AB800" s="31" t="s">
        <v>1573</v>
      </c>
      <c r="AC800" s="31" t="s">
        <v>150</v>
      </c>
      <c r="AD800" s="153" t="str">
        <f t="shared" si="221"/>
        <v>Wheat</v>
      </c>
      <c r="AE800" s="31" t="s">
        <v>709</v>
      </c>
      <c r="AJ800" s="31" t="s">
        <v>203</v>
      </c>
      <c r="AK800" s="31" t="s">
        <v>203</v>
      </c>
      <c r="AL800" s="31" t="s">
        <v>230</v>
      </c>
      <c r="AM800" s="31">
        <v>0</v>
      </c>
      <c r="AN800" s="31">
        <v>0</v>
      </c>
      <c r="AO800" s="31" t="s">
        <v>230</v>
      </c>
      <c r="AP800" s="31" t="s">
        <v>208</v>
      </c>
      <c r="AQ800" s="31">
        <v>4</v>
      </c>
      <c r="AR800" s="31">
        <v>4</v>
      </c>
      <c r="AS800" s="31" t="s">
        <v>404</v>
      </c>
      <c r="AX800" s="31" t="s">
        <v>708</v>
      </c>
      <c r="BH800" s="31">
        <f>9.98/10</f>
        <v>0.998</v>
      </c>
      <c r="BI800" s="31">
        <f>0.1*10.96</f>
        <v>1.0960000000000001</v>
      </c>
      <c r="BJ800" s="31" t="s">
        <v>1394</v>
      </c>
      <c r="BK800" s="31">
        <v>1.07</v>
      </c>
      <c r="BL800" s="31">
        <v>1.1000000000000001</v>
      </c>
      <c r="BW800" s="31" t="s">
        <v>777</v>
      </c>
      <c r="BX800" s="31" t="s">
        <v>777</v>
      </c>
      <c r="DS800" s="31">
        <v>98.5</v>
      </c>
      <c r="DT800" s="31">
        <v>82.91</v>
      </c>
      <c r="DU800" s="31" t="s">
        <v>711</v>
      </c>
      <c r="EW800" s="31">
        <v>99999</v>
      </c>
      <c r="EX800" s="38">
        <v>99999</v>
      </c>
      <c r="FA800" s="31" t="s">
        <v>740</v>
      </c>
      <c r="FB800" s="31" t="s">
        <v>1107</v>
      </c>
      <c r="FC800" s="31">
        <v>40</v>
      </c>
    </row>
    <row r="801" spans="1:159" s="31" customFormat="1" x14ac:dyDescent="0.25">
      <c r="A801" s="31">
        <v>40</v>
      </c>
      <c r="B801" s="31" t="s">
        <v>706</v>
      </c>
      <c r="C801" s="31" t="s">
        <v>707</v>
      </c>
      <c r="D801" s="31">
        <v>2015</v>
      </c>
      <c r="E801" s="31">
        <v>2013</v>
      </c>
      <c r="F801" s="31" t="s">
        <v>162</v>
      </c>
      <c r="G801" s="31" t="s">
        <v>719</v>
      </c>
      <c r="H801" s="31">
        <v>35.619999999999997</v>
      </c>
      <c r="I801" s="31">
        <v>-88.85</v>
      </c>
      <c r="J801" s="31">
        <v>107.7</v>
      </c>
      <c r="N801" s="31">
        <v>1375</v>
      </c>
      <c r="P801" s="56" t="s">
        <v>207</v>
      </c>
      <c r="Q801" s="56"/>
      <c r="R801" s="56"/>
      <c r="S801" s="56" t="s">
        <v>1645</v>
      </c>
      <c r="T801" s="56" t="s">
        <v>1645</v>
      </c>
      <c r="U801" s="31">
        <f t="shared" si="224"/>
        <v>1.4066666666666665</v>
      </c>
      <c r="X801" s="31" t="s">
        <v>168</v>
      </c>
      <c r="AB801" s="31" t="s">
        <v>1573</v>
      </c>
      <c r="AC801" s="31" t="s">
        <v>301</v>
      </c>
      <c r="AD801" s="153" t="str">
        <f t="shared" si="221"/>
        <v>Vetch</v>
      </c>
      <c r="AE801" s="31" t="s">
        <v>709</v>
      </c>
      <c r="AJ801" s="31" t="s">
        <v>712</v>
      </c>
      <c r="AK801" s="31" t="s">
        <v>712</v>
      </c>
      <c r="AL801" s="31" t="s">
        <v>230</v>
      </c>
      <c r="AM801" s="31">
        <v>0</v>
      </c>
      <c r="AN801" s="31">
        <v>0</v>
      </c>
      <c r="AO801" s="31" t="s">
        <v>230</v>
      </c>
      <c r="AP801" s="31" t="s">
        <v>208</v>
      </c>
      <c r="AQ801" s="31">
        <v>4</v>
      </c>
      <c r="AR801" s="31">
        <v>4</v>
      </c>
      <c r="AS801" s="31" t="s">
        <v>404</v>
      </c>
      <c r="AX801" s="31" t="s">
        <v>708</v>
      </c>
      <c r="BH801" s="31">
        <f>8.82/10</f>
        <v>0.88200000000000001</v>
      </c>
      <c r="BI801" s="31">
        <f>0.1*9.76</f>
        <v>0.97599999999999998</v>
      </c>
      <c r="BJ801" s="31" t="s">
        <v>1394</v>
      </c>
      <c r="BK801" s="31">
        <v>0.95</v>
      </c>
      <c r="BL801" s="31">
        <v>1.1000000000000001</v>
      </c>
      <c r="BW801" s="31" t="s">
        <v>777</v>
      </c>
      <c r="BX801" s="31" t="s">
        <v>777</v>
      </c>
      <c r="DS801" s="31">
        <v>81.599999999999994</v>
      </c>
      <c r="DT801" s="31">
        <v>53.26</v>
      </c>
      <c r="DU801" s="31" t="s">
        <v>711</v>
      </c>
      <c r="EW801" s="31">
        <v>99999</v>
      </c>
      <c r="EX801" s="38">
        <v>99999</v>
      </c>
      <c r="FA801" s="31" t="s">
        <v>740</v>
      </c>
      <c r="FB801" s="31" t="s">
        <v>1107</v>
      </c>
      <c r="FC801" s="31">
        <v>40</v>
      </c>
    </row>
    <row r="802" spans="1:159" s="31" customFormat="1" x14ac:dyDescent="0.25">
      <c r="A802" s="31">
        <v>40</v>
      </c>
      <c r="B802" s="31" t="s">
        <v>706</v>
      </c>
      <c r="C802" s="31" t="s">
        <v>707</v>
      </c>
      <c r="D802" s="31">
        <v>2015</v>
      </c>
      <c r="E802" s="31">
        <v>2013</v>
      </c>
      <c r="F802" s="31" t="s">
        <v>162</v>
      </c>
      <c r="G802" s="31" t="s">
        <v>719</v>
      </c>
      <c r="H802" s="31">
        <v>35.619999999999997</v>
      </c>
      <c r="I802" s="31">
        <v>-88.85</v>
      </c>
      <c r="J802" s="31">
        <v>107.7</v>
      </c>
      <c r="N802" s="31">
        <v>1375</v>
      </c>
      <c r="P802" s="56" t="s">
        <v>207</v>
      </c>
      <c r="Q802" s="56"/>
      <c r="R802" s="56"/>
      <c r="S802" s="56" t="s">
        <v>1645</v>
      </c>
      <c r="T802" s="56" t="s">
        <v>1645</v>
      </c>
      <c r="U802" s="31">
        <f t="shared" si="224"/>
        <v>1.4066666666666665</v>
      </c>
      <c r="X802" s="31" t="s">
        <v>168</v>
      </c>
      <c r="AB802" s="31" t="s">
        <v>1573</v>
      </c>
      <c r="AC802" s="31" t="s">
        <v>150</v>
      </c>
      <c r="AD802" s="153" t="str">
        <f t="shared" si="221"/>
        <v>Wheat</v>
      </c>
      <c r="AE802" s="31" t="s">
        <v>709</v>
      </c>
      <c r="AJ802" s="31" t="s">
        <v>712</v>
      </c>
      <c r="AK802" s="31" t="s">
        <v>712</v>
      </c>
      <c r="AL802" s="31" t="s">
        <v>230</v>
      </c>
      <c r="AM802" s="31">
        <v>0</v>
      </c>
      <c r="AN802" s="31">
        <v>0</v>
      </c>
      <c r="AO802" s="31" t="s">
        <v>230</v>
      </c>
      <c r="AP802" s="31" t="s">
        <v>208</v>
      </c>
      <c r="AQ802" s="31">
        <v>4</v>
      </c>
      <c r="AR802" s="31">
        <v>4</v>
      </c>
      <c r="AS802" s="31" t="s">
        <v>404</v>
      </c>
      <c r="AX802" s="31" t="s">
        <v>708</v>
      </c>
      <c r="BH802" s="31">
        <f>8.82/10</f>
        <v>0.88200000000000001</v>
      </c>
      <c r="BI802" s="31">
        <f>0.1*7.6</f>
        <v>0.76</v>
      </c>
      <c r="BJ802" s="31" t="s">
        <v>1394</v>
      </c>
      <c r="BK802" s="31">
        <v>0.95</v>
      </c>
      <c r="BL802" s="31">
        <v>0.78</v>
      </c>
      <c r="BW802" s="31" t="s">
        <v>777</v>
      </c>
      <c r="BX802" s="31" t="s">
        <v>777</v>
      </c>
      <c r="DS802" s="31">
        <v>81.599999999999994</v>
      </c>
      <c r="DT802" s="31">
        <v>59.16</v>
      </c>
      <c r="DU802" s="31" t="s">
        <v>711</v>
      </c>
      <c r="EW802" s="31">
        <v>99999</v>
      </c>
      <c r="EX802" s="38">
        <v>99999</v>
      </c>
      <c r="FA802" s="31" t="s">
        <v>740</v>
      </c>
      <c r="FB802" s="31" t="s">
        <v>1107</v>
      </c>
      <c r="FC802" s="31">
        <v>40</v>
      </c>
    </row>
    <row r="803" spans="1:159" s="38" customFormat="1" x14ac:dyDescent="0.25">
      <c r="A803" s="38">
        <v>40</v>
      </c>
      <c r="B803" s="38" t="s">
        <v>706</v>
      </c>
      <c r="C803" s="38" t="s">
        <v>707</v>
      </c>
      <c r="D803" s="38">
        <v>2015</v>
      </c>
      <c r="E803" s="38">
        <v>2013</v>
      </c>
      <c r="F803" s="38" t="s">
        <v>162</v>
      </c>
      <c r="G803" s="38" t="s">
        <v>719</v>
      </c>
      <c r="H803" s="38">
        <v>35.619999999999997</v>
      </c>
      <c r="I803" s="38">
        <v>-88.85</v>
      </c>
      <c r="J803" s="38">
        <v>107.7</v>
      </c>
      <c r="N803" s="38">
        <v>1375</v>
      </c>
      <c r="P803" s="57" t="s">
        <v>207</v>
      </c>
      <c r="Q803" s="57"/>
      <c r="R803" s="57"/>
      <c r="S803" s="57" t="s">
        <v>1645</v>
      </c>
      <c r="T803" s="57" t="s">
        <v>1645</v>
      </c>
      <c r="U803" s="38">
        <f t="shared" ref="U803:U814" si="225">(1.4+1.39+1.43)/3</f>
        <v>1.4066666666666665</v>
      </c>
      <c r="X803" s="38" t="s">
        <v>168</v>
      </c>
      <c r="AB803" s="38" t="s">
        <v>1573</v>
      </c>
      <c r="AC803" s="38" t="s">
        <v>301</v>
      </c>
      <c r="AD803" s="153" t="str">
        <f t="shared" si="221"/>
        <v>Vetch</v>
      </c>
      <c r="AE803" s="38" t="s">
        <v>709</v>
      </c>
      <c r="AJ803" s="38" t="s">
        <v>203</v>
      </c>
      <c r="AK803" s="38" t="s">
        <v>203</v>
      </c>
      <c r="AL803" s="38" t="s">
        <v>230</v>
      </c>
      <c r="AM803" s="38">
        <v>34</v>
      </c>
      <c r="AN803" s="38">
        <v>34</v>
      </c>
      <c r="AO803" s="38" t="s">
        <v>230</v>
      </c>
      <c r="AP803" s="38" t="s">
        <v>208</v>
      </c>
      <c r="AQ803" s="38">
        <v>4</v>
      </c>
      <c r="AR803" s="38">
        <v>4</v>
      </c>
      <c r="AS803" s="38" t="s">
        <v>404</v>
      </c>
      <c r="AW803" s="64"/>
      <c r="AX803" s="38" t="s">
        <v>708</v>
      </c>
      <c r="BH803" s="38">
        <f>10.82/10</f>
        <v>1.0820000000000001</v>
      </c>
      <c r="BI803" s="38">
        <f>0.1*13.07</f>
        <v>1.3070000000000002</v>
      </c>
      <c r="BJ803" s="38" t="s">
        <v>1394</v>
      </c>
      <c r="BK803" s="38">
        <v>1.04</v>
      </c>
      <c r="BL803" s="38">
        <v>1.29</v>
      </c>
      <c r="BW803" s="38" t="s">
        <v>777</v>
      </c>
      <c r="BX803" s="38" t="s">
        <v>777</v>
      </c>
      <c r="DS803" s="38">
        <v>90.9</v>
      </c>
      <c r="DT803" s="38">
        <v>84.19</v>
      </c>
      <c r="DU803" s="38" t="s">
        <v>711</v>
      </c>
      <c r="EW803" s="38">
        <v>99999</v>
      </c>
      <c r="EX803" s="38">
        <v>99999</v>
      </c>
      <c r="FA803" s="38" t="s">
        <v>740</v>
      </c>
      <c r="FB803" s="38" t="s">
        <v>1107</v>
      </c>
      <c r="FC803" s="38">
        <v>40</v>
      </c>
    </row>
    <row r="804" spans="1:159" s="38" customFormat="1" x14ac:dyDescent="0.25">
      <c r="A804" s="38">
        <v>40</v>
      </c>
      <c r="B804" s="38" t="s">
        <v>706</v>
      </c>
      <c r="C804" s="38" t="s">
        <v>707</v>
      </c>
      <c r="D804" s="38">
        <v>2015</v>
      </c>
      <c r="E804" s="38">
        <v>2013</v>
      </c>
      <c r="F804" s="38" t="s">
        <v>162</v>
      </c>
      <c r="G804" s="38" t="s">
        <v>719</v>
      </c>
      <c r="H804" s="38">
        <v>35.619999999999997</v>
      </c>
      <c r="I804" s="38">
        <v>-88.85</v>
      </c>
      <c r="J804" s="38">
        <v>107.7</v>
      </c>
      <c r="N804" s="38">
        <v>1375</v>
      </c>
      <c r="P804" s="57" t="s">
        <v>207</v>
      </c>
      <c r="Q804" s="57"/>
      <c r="R804" s="57"/>
      <c r="S804" s="57" t="s">
        <v>1645</v>
      </c>
      <c r="T804" s="57" t="s">
        <v>1645</v>
      </c>
      <c r="U804" s="38">
        <f t="shared" si="225"/>
        <v>1.4066666666666665</v>
      </c>
      <c r="X804" s="38" t="s">
        <v>168</v>
      </c>
      <c r="AB804" s="38" t="s">
        <v>1573</v>
      </c>
      <c r="AC804" s="38" t="s">
        <v>150</v>
      </c>
      <c r="AD804" s="153" t="str">
        <f t="shared" si="221"/>
        <v>Wheat</v>
      </c>
      <c r="AE804" s="38" t="s">
        <v>709</v>
      </c>
      <c r="AJ804" s="38" t="s">
        <v>203</v>
      </c>
      <c r="AK804" s="38" t="s">
        <v>203</v>
      </c>
      <c r="AL804" s="38" t="s">
        <v>230</v>
      </c>
      <c r="AM804" s="38">
        <v>34</v>
      </c>
      <c r="AN804" s="38">
        <v>34</v>
      </c>
      <c r="AO804" s="38" t="s">
        <v>230</v>
      </c>
      <c r="AP804" s="38" t="s">
        <v>208</v>
      </c>
      <c r="AQ804" s="38">
        <v>4</v>
      </c>
      <c r="AR804" s="38">
        <v>4</v>
      </c>
      <c r="AS804" s="38" t="s">
        <v>404</v>
      </c>
      <c r="AW804" s="64"/>
      <c r="AX804" s="38" t="s">
        <v>708</v>
      </c>
      <c r="BH804" s="38">
        <f>0.1*10.82</f>
        <v>1.0820000000000001</v>
      </c>
      <c r="BI804" s="38">
        <f>0.1*14.62</f>
        <v>1.462</v>
      </c>
      <c r="BJ804" s="38" t="s">
        <v>1394</v>
      </c>
      <c r="BK804" s="38">
        <v>1.04</v>
      </c>
      <c r="BL804" s="38">
        <v>1.3</v>
      </c>
      <c r="BW804" s="38" t="s">
        <v>777</v>
      </c>
      <c r="BX804" s="38" t="s">
        <v>777</v>
      </c>
      <c r="DS804" s="38">
        <v>90.9</v>
      </c>
      <c r="DT804" s="38">
        <v>112.79</v>
      </c>
      <c r="DU804" s="38" t="s">
        <v>711</v>
      </c>
      <c r="EW804" s="38">
        <v>99999</v>
      </c>
      <c r="EX804" s="38">
        <v>99999</v>
      </c>
      <c r="FA804" s="38" t="s">
        <v>740</v>
      </c>
      <c r="FB804" s="38" t="s">
        <v>1107</v>
      </c>
      <c r="FC804" s="38">
        <v>40</v>
      </c>
    </row>
    <row r="805" spans="1:159" s="38" customFormat="1" x14ac:dyDescent="0.25">
      <c r="A805" s="38">
        <v>40</v>
      </c>
      <c r="B805" s="38" t="s">
        <v>706</v>
      </c>
      <c r="C805" s="38" t="s">
        <v>707</v>
      </c>
      <c r="D805" s="38">
        <v>2015</v>
      </c>
      <c r="E805" s="38">
        <v>2013</v>
      </c>
      <c r="F805" s="38" t="s">
        <v>162</v>
      </c>
      <c r="G805" s="38" t="s">
        <v>719</v>
      </c>
      <c r="H805" s="38">
        <v>35.619999999999997</v>
      </c>
      <c r="I805" s="38">
        <v>-88.85</v>
      </c>
      <c r="J805" s="38">
        <v>107.7</v>
      </c>
      <c r="N805" s="38">
        <v>1375</v>
      </c>
      <c r="P805" s="57" t="s">
        <v>207</v>
      </c>
      <c r="Q805" s="57"/>
      <c r="R805" s="57"/>
      <c r="S805" s="57" t="s">
        <v>1645</v>
      </c>
      <c r="T805" s="57" t="s">
        <v>1645</v>
      </c>
      <c r="U805" s="38">
        <f t="shared" si="225"/>
        <v>1.4066666666666665</v>
      </c>
      <c r="X805" s="38" t="s">
        <v>168</v>
      </c>
      <c r="AB805" s="38" t="s">
        <v>1573</v>
      </c>
      <c r="AC805" s="38" t="s">
        <v>301</v>
      </c>
      <c r="AD805" s="153" t="str">
        <f t="shared" si="221"/>
        <v>Vetch</v>
      </c>
      <c r="AE805" s="38" t="s">
        <v>709</v>
      </c>
      <c r="AJ805" s="38" t="s">
        <v>712</v>
      </c>
      <c r="AK805" s="38" t="s">
        <v>712</v>
      </c>
      <c r="AL805" s="38" t="s">
        <v>230</v>
      </c>
      <c r="AM805" s="38">
        <v>34</v>
      </c>
      <c r="AN805" s="38">
        <v>34</v>
      </c>
      <c r="AO805" s="38" t="s">
        <v>230</v>
      </c>
      <c r="AP805" s="38" t="s">
        <v>208</v>
      </c>
      <c r="AQ805" s="38">
        <v>4</v>
      </c>
      <c r="AR805" s="38">
        <v>4</v>
      </c>
      <c r="AS805" s="38" t="s">
        <v>404</v>
      </c>
      <c r="AW805" s="64"/>
      <c r="AX805" s="38" t="s">
        <v>708</v>
      </c>
      <c r="BH805" s="38">
        <f>0.1*9.57</f>
        <v>0.95700000000000007</v>
      </c>
      <c r="BI805" s="38">
        <f>0.1*10.09</f>
        <v>1.0090000000000001</v>
      </c>
      <c r="BJ805" s="38" t="s">
        <v>1394</v>
      </c>
      <c r="BK805" s="38">
        <v>0.97</v>
      </c>
      <c r="BL805" s="38">
        <v>1</v>
      </c>
      <c r="BW805" s="38" t="s">
        <v>777</v>
      </c>
      <c r="BX805" s="38" t="s">
        <v>777</v>
      </c>
      <c r="DS805" s="38">
        <v>73.28</v>
      </c>
      <c r="DT805" s="38">
        <v>66.22</v>
      </c>
      <c r="DU805" s="38" t="s">
        <v>711</v>
      </c>
      <c r="EW805" s="38">
        <v>99999</v>
      </c>
      <c r="EX805" s="38">
        <v>99999</v>
      </c>
      <c r="FA805" s="38" t="s">
        <v>740</v>
      </c>
      <c r="FB805" s="38" t="s">
        <v>1107</v>
      </c>
      <c r="FC805" s="38">
        <v>40</v>
      </c>
    </row>
    <row r="806" spans="1:159" s="38" customFormat="1" x14ac:dyDescent="0.25">
      <c r="A806" s="38">
        <v>40</v>
      </c>
      <c r="B806" s="38" t="s">
        <v>706</v>
      </c>
      <c r="C806" s="38" t="s">
        <v>707</v>
      </c>
      <c r="D806" s="38">
        <v>2015</v>
      </c>
      <c r="E806" s="38">
        <v>2013</v>
      </c>
      <c r="F806" s="38" t="s">
        <v>162</v>
      </c>
      <c r="G806" s="38" t="s">
        <v>719</v>
      </c>
      <c r="H806" s="38">
        <v>35.619999999999997</v>
      </c>
      <c r="I806" s="38">
        <v>-88.85</v>
      </c>
      <c r="J806" s="38">
        <v>107.7</v>
      </c>
      <c r="N806" s="38">
        <v>1375</v>
      </c>
      <c r="P806" s="57" t="s">
        <v>207</v>
      </c>
      <c r="Q806" s="57"/>
      <c r="R806" s="57"/>
      <c r="S806" s="57" t="s">
        <v>1645</v>
      </c>
      <c r="T806" s="57" t="s">
        <v>1645</v>
      </c>
      <c r="U806" s="38">
        <f t="shared" si="225"/>
        <v>1.4066666666666665</v>
      </c>
      <c r="X806" s="38" t="s">
        <v>168</v>
      </c>
      <c r="AB806" s="38" t="s">
        <v>1573</v>
      </c>
      <c r="AC806" s="38" t="s">
        <v>150</v>
      </c>
      <c r="AD806" s="153" t="str">
        <f t="shared" si="221"/>
        <v>Wheat</v>
      </c>
      <c r="AE806" s="38" t="s">
        <v>709</v>
      </c>
      <c r="AJ806" s="38" t="s">
        <v>712</v>
      </c>
      <c r="AK806" s="38" t="s">
        <v>712</v>
      </c>
      <c r="AL806" s="38" t="s">
        <v>230</v>
      </c>
      <c r="AM806" s="38">
        <v>34</v>
      </c>
      <c r="AN806" s="38">
        <v>34</v>
      </c>
      <c r="AO806" s="38" t="s">
        <v>230</v>
      </c>
      <c r="AP806" s="38" t="s">
        <v>208</v>
      </c>
      <c r="AQ806" s="38">
        <v>4</v>
      </c>
      <c r="AR806" s="38">
        <v>4</v>
      </c>
      <c r="AS806" s="38" t="s">
        <v>404</v>
      </c>
      <c r="AW806" s="64"/>
      <c r="AX806" s="38" t="s">
        <v>708</v>
      </c>
      <c r="BH806" s="38">
        <f>0.1*9.57</f>
        <v>0.95700000000000007</v>
      </c>
      <c r="BI806" s="38">
        <f>0.1*9.05</f>
        <v>0.90500000000000014</v>
      </c>
      <c r="BJ806" s="38" t="s">
        <v>1394</v>
      </c>
      <c r="BK806" s="38">
        <v>0.97</v>
      </c>
      <c r="BL806" s="38">
        <v>1.01</v>
      </c>
      <c r="BW806" s="38" t="s">
        <v>777</v>
      </c>
      <c r="BX806" s="38" t="s">
        <v>777</v>
      </c>
      <c r="DS806" s="38">
        <v>73.28</v>
      </c>
      <c r="DT806" s="38">
        <v>51.57</v>
      </c>
      <c r="DU806" s="38" t="s">
        <v>711</v>
      </c>
      <c r="EW806" s="38">
        <v>99999</v>
      </c>
      <c r="EX806" s="38">
        <v>99999</v>
      </c>
      <c r="FA806" s="38" t="s">
        <v>740</v>
      </c>
      <c r="FB806" s="38" t="s">
        <v>1107</v>
      </c>
      <c r="FC806" s="38">
        <v>40</v>
      </c>
    </row>
    <row r="807" spans="1:159" s="31" customFormat="1" x14ac:dyDescent="0.25">
      <c r="A807" s="31">
        <v>40</v>
      </c>
      <c r="B807" s="31" t="s">
        <v>706</v>
      </c>
      <c r="C807" s="31" t="s">
        <v>707</v>
      </c>
      <c r="D807" s="31">
        <v>2015</v>
      </c>
      <c r="E807" s="31">
        <v>2013</v>
      </c>
      <c r="F807" s="31" t="s">
        <v>162</v>
      </c>
      <c r="G807" s="31" t="s">
        <v>719</v>
      </c>
      <c r="H807" s="31">
        <v>35.619999999999997</v>
      </c>
      <c r="I807" s="31">
        <v>-88.85</v>
      </c>
      <c r="J807" s="31">
        <v>107.7</v>
      </c>
      <c r="N807" s="31">
        <v>1375</v>
      </c>
      <c r="P807" s="56" t="s">
        <v>207</v>
      </c>
      <c r="Q807" s="56"/>
      <c r="R807" s="56"/>
      <c r="S807" s="56" t="s">
        <v>1645</v>
      </c>
      <c r="T807" s="56" t="s">
        <v>1645</v>
      </c>
      <c r="U807" s="31">
        <f t="shared" si="225"/>
        <v>1.4066666666666665</v>
      </c>
      <c r="X807" s="31" t="s">
        <v>168</v>
      </c>
      <c r="AB807" s="31" t="s">
        <v>1573</v>
      </c>
      <c r="AC807" s="31" t="s">
        <v>301</v>
      </c>
      <c r="AD807" s="153" t="str">
        <f t="shared" si="221"/>
        <v>Vetch</v>
      </c>
      <c r="AE807" s="31" t="s">
        <v>709</v>
      </c>
      <c r="AJ807" s="31" t="s">
        <v>203</v>
      </c>
      <c r="AK807" s="31" t="s">
        <v>203</v>
      </c>
      <c r="AL807" s="31" t="s">
        <v>230</v>
      </c>
      <c r="AM807" s="31">
        <v>67</v>
      </c>
      <c r="AN807" s="31">
        <v>67</v>
      </c>
      <c r="AO807" s="31" t="s">
        <v>230</v>
      </c>
      <c r="AP807" s="31" t="s">
        <v>208</v>
      </c>
      <c r="AQ807" s="31">
        <v>4</v>
      </c>
      <c r="AR807" s="31">
        <v>4</v>
      </c>
      <c r="AS807" s="31" t="s">
        <v>404</v>
      </c>
      <c r="AX807" s="31" t="s">
        <v>708</v>
      </c>
      <c r="BH807" s="31">
        <f>0.1*10.08</f>
        <v>1.008</v>
      </c>
      <c r="BI807" s="31">
        <f>0.1*12.93</f>
        <v>1.2930000000000001</v>
      </c>
      <c r="BJ807" s="31" t="s">
        <v>1394</v>
      </c>
      <c r="BK807" s="31">
        <v>1.06</v>
      </c>
      <c r="BL807" s="31">
        <v>1.34</v>
      </c>
      <c r="BW807" s="31" t="s">
        <v>777</v>
      </c>
      <c r="BX807" s="31" t="s">
        <v>777</v>
      </c>
      <c r="DS807" s="31">
        <v>82.24</v>
      </c>
      <c r="DT807" s="31">
        <v>87.42</v>
      </c>
      <c r="DU807" s="31" t="s">
        <v>711</v>
      </c>
      <c r="EW807" s="31">
        <v>99999</v>
      </c>
      <c r="EX807" s="38">
        <v>99999</v>
      </c>
      <c r="FA807" s="31" t="s">
        <v>740</v>
      </c>
      <c r="FB807" s="31" t="s">
        <v>1107</v>
      </c>
      <c r="FC807" s="31">
        <v>40</v>
      </c>
    </row>
    <row r="808" spans="1:159" s="31" customFormat="1" x14ac:dyDescent="0.25">
      <c r="A808" s="31">
        <v>40</v>
      </c>
      <c r="B808" s="31" t="s">
        <v>706</v>
      </c>
      <c r="C808" s="31" t="s">
        <v>707</v>
      </c>
      <c r="D808" s="31">
        <v>2015</v>
      </c>
      <c r="E808" s="31">
        <v>2013</v>
      </c>
      <c r="F808" s="31" t="s">
        <v>162</v>
      </c>
      <c r="G808" s="31" t="s">
        <v>719</v>
      </c>
      <c r="H808" s="31">
        <v>35.619999999999997</v>
      </c>
      <c r="I808" s="31">
        <v>-88.85</v>
      </c>
      <c r="J808" s="31">
        <v>107.7</v>
      </c>
      <c r="N808" s="31">
        <v>1375</v>
      </c>
      <c r="P808" s="56" t="s">
        <v>207</v>
      </c>
      <c r="Q808" s="56"/>
      <c r="R808" s="56"/>
      <c r="S808" s="56" t="s">
        <v>1645</v>
      </c>
      <c r="T808" s="56" t="s">
        <v>1645</v>
      </c>
      <c r="U808" s="31">
        <f t="shared" si="225"/>
        <v>1.4066666666666665</v>
      </c>
      <c r="X808" s="31" t="s">
        <v>168</v>
      </c>
      <c r="AB808" s="31" t="s">
        <v>1573</v>
      </c>
      <c r="AC808" s="31" t="s">
        <v>150</v>
      </c>
      <c r="AD808" s="153" t="str">
        <f t="shared" si="221"/>
        <v>Wheat</v>
      </c>
      <c r="AE808" s="31" t="s">
        <v>709</v>
      </c>
      <c r="AJ808" s="31" t="s">
        <v>203</v>
      </c>
      <c r="AK808" s="31" t="s">
        <v>203</v>
      </c>
      <c r="AL808" s="31" t="s">
        <v>230</v>
      </c>
      <c r="AM808" s="31">
        <v>67</v>
      </c>
      <c r="AN808" s="31">
        <v>67</v>
      </c>
      <c r="AO808" s="31" t="s">
        <v>230</v>
      </c>
      <c r="AP808" s="31" t="s">
        <v>208</v>
      </c>
      <c r="AQ808" s="31">
        <v>4</v>
      </c>
      <c r="AR808" s="31">
        <v>4</v>
      </c>
      <c r="AS808" s="31" t="s">
        <v>404</v>
      </c>
      <c r="AX808" s="31" t="s">
        <v>708</v>
      </c>
      <c r="BH808" s="31">
        <f>0.1*10.08</f>
        <v>1.008</v>
      </c>
      <c r="BI808" s="31">
        <f>0.1*10.86</f>
        <v>1.0860000000000001</v>
      </c>
      <c r="BJ808" s="31" t="s">
        <v>1394</v>
      </c>
      <c r="BK808" s="31">
        <v>1.06</v>
      </c>
      <c r="BL808" s="31">
        <v>1.1000000000000001</v>
      </c>
      <c r="BW808" s="31" t="s">
        <v>777</v>
      </c>
      <c r="BX808" s="31" t="s">
        <v>777</v>
      </c>
      <c r="DS808" s="31">
        <v>82.24</v>
      </c>
      <c r="DT808" s="31">
        <v>77.459999999999994</v>
      </c>
      <c r="DU808" s="31" t="s">
        <v>711</v>
      </c>
      <c r="EW808" s="31">
        <v>99999</v>
      </c>
      <c r="EX808" s="38">
        <v>99999</v>
      </c>
      <c r="FA808" s="31" t="s">
        <v>740</v>
      </c>
      <c r="FB808" s="31" t="s">
        <v>1107</v>
      </c>
      <c r="FC808" s="31">
        <v>40</v>
      </c>
    </row>
    <row r="809" spans="1:159" s="31" customFormat="1" x14ac:dyDescent="0.25">
      <c r="A809" s="31">
        <v>40</v>
      </c>
      <c r="B809" s="31" t="s">
        <v>706</v>
      </c>
      <c r="C809" s="31" t="s">
        <v>707</v>
      </c>
      <c r="D809" s="31">
        <v>2015</v>
      </c>
      <c r="E809" s="31">
        <v>2013</v>
      </c>
      <c r="F809" s="31" t="s">
        <v>162</v>
      </c>
      <c r="G809" s="31" t="s">
        <v>719</v>
      </c>
      <c r="H809" s="31">
        <v>35.619999999999997</v>
      </c>
      <c r="I809" s="31">
        <v>-88.85</v>
      </c>
      <c r="J809" s="31">
        <v>107.7</v>
      </c>
      <c r="N809" s="31">
        <v>1375</v>
      </c>
      <c r="P809" s="56" t="s">
        <v>207</v>
      </c>
      <c r="Q809" s="56"/>
      <c r="R809" s="56"/>
      <c r="S809" s="56" t="s">
        <v>1645</v>
      </c>
      <c r="T809" s="56" t="s">
        <v>1645</v>
      </c>
      <c r="U809" s="31">
        <f t="shared" si="225"/>
        <v>1.4066666666666665</v>
      </c>
      <c r="X809" s="31" t="s">
        <v>168</v>
      </c>
      <c r="AB809" s="31" t="s">
        <v>1573</v>
      </c>
      <c r="AC809" s="31" t="s">
        <v>301</v>
      </c>
      <c r="AD809" s="153" t="str">
        <f t="shared" si="221"/>
        <v>Vetch</v>
      </c>
      <c r="AE809" s="31" t="s">
        <v>709</v>
      </c>
      <c r="AJ809" s="31" t="s">
        <v>712</v>
      </c>
      <c r="AK809" s="31" t="s">
        <v>712</v>
      </c>
      <c r="AL809" s="31" t="s">
        <v>230</v>
      </c>
      <c r="AM809" s="31">
        <v>67</v>
      </c>
      <c r="AN809" s="31">
        <v>67</v>
      </c>
      <c r="AO809" s="31" t="s">
        <v>230</v>
      </c>
      <c r="AP809" s="31" t="s">
        <v>208</v>
      </c>
      <c r="AQ809" s="31">
        <v>4</v>
      </c>
      <c r="AR809" s="31">
        <v>4</v>
      </c>
      <c r="AS809" s="31" t="s">
        <v>404</v>
      </c>
      <c r="AX809" s="31" t="s">
        <v>708</v>
      </c>
      <c r="BH809" s="31">
        <f>0.1*10.08</f>
        <v>1.008</v>
      </c>
      <c r="BI809" s="31">
        <f>0.1*10.26</f>
        <v>1.026</v>
      </c>
      <c r="BJ809" s="31" t="s">
        <v>1394</v>
      </c>
      <c r="BK809" s="31">
        <v>1.02</v>
      </c>
      <c r="BL809" s="31">
        <v>1.06</v>
      </c>
      <c r="BW809" s="31" t="s">
        <v>777</v>
      </c>
      <c r="BX809" s="31" t="s">
        <v>777</v>
      </c>
      <c r="DS809" s="31">
        <v>70.03</v>
      </c>
      <c r="DT809" s="31">
        <v>68</v>
      </c>
      <c r="DU809" s="31" t="s">
        <v>711</v>
      </c>
      <c r="EW809" s="31">
        <v>99999</v>
      </c>
      <c r="EX809" s="38">
        <v>99999</v>
      </c>
      <c r="FA809" s="31" t="s">
        <v>740</v>
      </c>
      <c r="FB809" s="31" t="s">
        <v>1107</v>
      </c>
      <c r="FC809" s="31">
        <v>40</v>
      </c>
    </row>
    <row r="810" spans="1:159" s="31" customFormat="1" x14ac:dyDescent="0.25">
      <c r="A810" s="31">
        <v>40</v>
      </c>
      <c r="B810" s="31" t="s">
        <v>706</v>
      </c>
      <c r="C810" s="31" t="s">
        <v>707</v>
      </c>
      <c r="D810" s="31">
        <v>2015</v>
      </c>
      <c r="E810" s="31">
        <v>2013</v>
      </c>
      <c r="F810" s="31" t="s">
        <v>162</v>
      </c>
      <c r="G810" s="31" t="s">
        <v>719</v>
      </c>
      <c r="H810" s="31">
        <v>35.619999999999997</v>
      </c>
      <c r="I810" s="31">
        <v>-88.85</v>
      </c>
      <c r="J810" s="31">
        <v>107.7</v>
      </c>
      <c r="N810" s="31">
        <v>1375</v>
      </c>
      <c r="P810" s="56" t="s">
        <v>207</v>
      </c>
      <c r="Q810" s="56"/>
      <c r="R810" s="56"/>
      <c r="S810" s="56" t="s">
        <v>1645</v>
      </c>
      <c r="T810" s="56" t="s">
        <v>1645</v>
      </c>
      <c r="U810" s="31">
        <f t="shared" si="225"/>
        <v>1.4066666666666665</v>
      </c>
      <c r="X810" s="31" t="s">
        <v>168</v>
      </c>
      <c r="AB810" s="31" t="s">
        <v>1573</v>
      </c>
      <c r="AC810" s="31" t="s">
        <v>150</v>
      </c>
      <c r="AD810" s="153" t="str">
        <f t="shared" si="221"/>
        <v>Wheat</v>
      </c>
      <c r="AE810" s="31" t="s">
        <v>709</v>
      </c>
      <c r="AJ810" s="31" t="s">
        <v>712</v>
      </c>
      <c r="AK810" s="31" t="s">
        <v>712</v>
      </c>
      <c r="AL810" s="31" t="s">
        <v>230</v>
      </c>
      <c r="AM810" s="31">
        <v>67</v>
      </c>
      <c r="AN810" s="31">
        <v>67</v>
      </c>
      <c r="AO810" s="31" t="s">
        <v>230</v>
      </c>
      <c r="AP810" s="31" t="s">
        <v>208</v>
      </c>
      <c r="AQ810" s="31">
        <v>4</v>
      </c>
      <c r="AR810" s="31">
        <v>4</v>
      </c>
      <c r="AS810" s="31" t="s">
        <v>404</v>
      </c>
      <c r="AX810" s="31" t="s">
        <v>708</v>
      </c>
      <c r="BH810" s="31">
        <f>0.1*10.08</f>
        <v>1.008</v>
      </c>
      <c r="BI810" s="31">
        <f>0.1*10.41</f>
        <v>1.0410000000000001</v>
      </c>
      <c r="BJ810" s="31" t="s">
        <v>1394</v>
      </c>
      <c r="BK810" s="31">
        <v>1.02</v>
      </c>
      <c r="BL810" s="31">
        <v>1.07</v>
      </c>
      <c r="BW810" s="31" t="s">
        <v>777</v>
      </c>
      <c r="BX810" s="31" t="s">
        <v>777</v>
      </c>
      <c r="DS810" s="31">
        <v>70.03</v>
      </c>
      <c r="DT810" s="31">
        <v>66</v>
      </c>
      <c r="DU810" s="31" t="s">
        <v>711</v>
      </c>
      <c r="EW810" s="31">
        <v>99999</v>
      </c>
      <c r="EX810" s="38">
        <v>99999</v>
      </c>
      <c r="FA810" s="31" t="s">
        <v>740</v>
      </c>
      <c r="FB810" s="31" t="s">
        <v>1107</v>
      </c>
      <c r="FC810" s="31">
        <v>40</v>
      </c>
    </row>
    <row r="811" spans="1:159" s="38" customFormat="1" x14ac:dyDescent="0.25">
      <c r="A811" s="38">
        <v>40</v>
      </c>
      <c r="B811" s="38" t="s">
        <v>706</v>
      </c>
      <c r="C811" s="38" t="s">
        <v>707</v>
      </c>
      <c r="D811" s="38">
        <v>2015</v>
      </c>
      <c r="E811" s="38">
        <v>2013</v>
      </c>
      <c r="F811" s="38" t="s">
        <v>162</v>
      </c>
      <c r="G811" s="38" t="s">
        <v>719</v>
      </c>
      <c r="H811" s="38">
        <v>35.619999999999997</v>
      </c>
      <c r="I811" s="38">
        <v>-88.85</v>
      </c>
      <c r="J811" s="38">
        <v>107.7</v>
      </c>
      <c r="N811" s="38">
        <v>1375</v>
      </c>
      <c r="P811" s="57" t="s">
        <v>207</v>
      </c>
      <c r="Q811" s="57"/>
      <c r="R811" s="57"/>
      <c r="S811" s="57" t="s">
        <v>1645</v>
      </c>
      <c r="T811" s="57" t="s">
        <v>1645</v>
      </c>
      <c r="U811" s="38">
        <f t="shared" si="225"/>
        <v>1.4066666666666665</v>
      </c>
      <c r="X811" s="38" t="s">
        <v>168</v>
      </c>
      <c r="AB811" s="38" t="s">
        <v>1573</v>
      </c>
      <c r="AC811" s="38" t="s">
        <v>301</v>
      </c>
      <c r="AD811" s="153" t="str">
        <f t="shared" si="221"/>
        <v>Vetch</v>
      </c>
      <c r="AE811" s="38" t="s">
        <v>709</v>
      </c>
      <c r="AJ811" s="38" t="s">
        <v>203</v>
      </c>
      <c r="AK811" s="38" t="s">
        <v>203</v>
      </c>
      <c r="AL811" s="38" t="s">
        <v>230</v>
      </c>
      <c r="AM811" s="38">
        <v>101</v>
      </c>
      <c r="AN811" s="38">
        <v>101</v>
      </c>
      <c r="AO811" s="38" t="s">
        <v>230</v>
      </c>
      <c r="AP811" s="38" t="s">
        <v>208</v>
      </c>
      <c r="AQ811" s="38">
        <v>4</v>
      </c>
      <c r="AR811" s="38">
        <v>4</v>
      </c>
      <c r="AS811" s="38" t="s">
        <v>404</v>
      </c>
      <c r="AW811" s="64"/>
      <c r="AX811" s="38" t="s">
        <v>708</v>
      </c>
      <c r="BH811" s="38">
        <f>0.1*14.02</f>
        <v>1.4020000000000001</v>
      </c>
      <c r="BI811" s="38">
        <f>0.1*12.58</f>
        <v>1.258</v>
      </c>
      <c r="BJ811" s="38" t="s">
        <v>1394</v>
      </c>
      <c r="BK811" s="38">
        <v>1.47</v>
      </c>
      <c r="BL811" s="38">
        <v>1.25</v>
      </c>
      <c r="BW811" s="38" t="s">
        <v>777</v>
      </c>
      <c r="BX811" s="38" t="s">
        <v>777</v>
      </c>
      <c r="DS811" s="38">
        <v>86.18</v>
      </c>
      <c r="DT811" s="38">
        <v>71.55</v>
      </c>
      <c r="DU811" s="38" t="s">
        <v>711</v>
      </c>
      <c r="EW811" s="38">
        <v>99999</v>
      </c>
      <c r="EX811" s="38">
        <v>99999</v>
      </c>
      <c r="FA811" s="38" t="s">
        <v>740</v>
      </c>
      <c r="FB811" s="38" t="s">
        <v>1107</v>
      </c>
      <c r="FC811" s="38">
        <v>40</v>
      </c>
    </row>
    <row r="812" spans="1:159" s="38" customFormat="1" x14ac:dyDescent="0.25">
      <c r="A812" s="38">
        <v>40</v>
      </c>
      <c r="B812" s="38" t="s">
        <v>706</v>
      </c>
      <c r="C812" s="38" t="s">
        <v>707</v>
      </c>
      <c r="D812" s="38">
        <v>2015</v>
      </c>
      <c r="E812" s="38">
        <v>2013</v>
      </c>
      <c r="F812" s="38" t="s">
        <v>162</v>
      </c>
      <c r="G812" s="38" t="s">
        <v>719</v>
      </c>
      <c r="H812" s="38">
        <v>35.619999999999997</v>
      </c>
      <c r="I812" s="38">
        <v>-88.85</v>
      </c>
      <c r="J812" s="38">
        <v>107.7</v>
      </c>
      <c r="N812" s="38">
        <v>1375</v>
      </c>
      <c r="P812" s="57" t="s">
        <v>207</v>
      </c>
      <c r="Q812" s="57"/>
      <c r="R812" s="57"/>
      <c r="S812" s="57" t="s">
        <v>1645</v>
      </c>
      <c r="T812" s="57" t="s">
        <v>1645</v>
      </c>
      <c r="U812" s="38">
        <f t="shared" si="225"/>
        <v>1.4066666666666665</v>
      </c>
      <c r="X812" s="38" t="s">
        <v>168</v>
      </c>
      <c r="AB812" s="38" t="s">
        <v>1573</v>
      </c>
      <c r="AC812" s="38" t="s">
        <v>150</v>
      </c>
      <c r="AD812" s="153" t="str">
        <f t="shared" si="221"/>
        <v>Wheat</v>
      </c>
      <c r="AE812" s="38" t="s">
        <v>709</v>
      </c>
      <c r="AJ812" s="38" t="s">
        <v>203</v>
      </c>
      <c r="AK812" s="38" t="s">
        <v>203</v>
      </c>
      <c r="AL812" s="38" t="s">
        <v>230</v>
      </c>
      <c r="AM812" s="38">
        <v>101</v>
      </c>
      <c r="AN812" s="38">
        <v>101</v>
      </c>
      <c r="AO812" s="38" t="s">
        <v>230</v>
      </c>
      <c r="AP812" s="38" t="s">
        <v>208</v>
      </c>
      <c r="AQ812" s="38">
        <v>4</v>
      </c>
      <c r="AR812" s="38">
        <v>4</v>
      </c>
      <c r="AS812" s="38" t="s">
        <v>404</v>
      </c>
      <c r="AW812" s="64"/>
      <c r="AX812" s="38" t="s">
        <v>708</v>
      </c>
      <c r="BH812" s="38">
        <f>0.1*14.02</f>
        <v>1.4020000000000001</v>
      </c>
      <c r="BI812" s="38">
        <f>0.1*13.35</f>
        <v>1.335</v>
      </c>
      <c r="BJ812" s="38" t="s">
        <v>1394</v>
      </c>
      <c r="BK812" s="38">
        <v>1.47</v>
      </c>
      <c r="BL812" s="38">
        <v>1.39</v>
      </c>
      <c r="BW812" s="38" t="s">
        <v>777</v>
      </c>
      <c r="BX812" s="38" t="s">
        <v>777</v>
      </c>
      <c r="DS812" s="38">
        <v>86.18</v>
      </c>
      <c r="DT812" s="38">
        <v>81.77</v>
      </c>
      <c r="DU812" s="38" t="s">
        <v>711</v>
      </c>
      <c r="EW812" s="38">
        <v>99999</v>
      </c>
      <c r="EX812" s="38">
        <v>99999</v>
      </c>
      <c r="FA812" s="38" t="s">
        <v>740</v>
      </c>
      <c r="FB812" s="38" t="s">
        <v>1107</v>
      </c>
      <c r="FC812" s="38">
        <v>40</v>
      </c>
    </row>
    <row r="813" spans="1:159" s="38" customFormat="1" x14ac:dyDescent="0.25">
      <c r="A813" s="38">
        <v>40</v>
      </c>
      <c r="B813" s="38" t="s">
        <v>706</v>
      </c>
      <c r="C813" s="38" t="s">
        <v>707</v>
      </c>
      <c r="D813" s="38">
        <v>2015</v>
      </c>
      <c r="E813" s="38">
        <v>2013</v>
      </c>
      <c r="F813" s="38" t="s">
        <v>162</v>
      </c>
      <c r="G813" s="38" t="s">
        <v>719</v>
      </c>
      <c r="H813" s="38">
        <v>35.619999999999997</v>
      </c>
      <c r="I813" s="38">
        <v>-88.85</v>
      </c>
      <c r="J813" s="38">
        <v>107.7</v>
      </c>
      <c r="N813" s="38">
        <v>1375</v>
      </c>
      <c r="P813" s="57" t="s">
        <v>207</v>
      </c>
      <c r="Q813" s="57"/>
      <c r="R813" s="57"/>
      <c r="S813" s="57" t="s">
        <v>1645</v>
      </c>
      <c r="T813" s="57" t="s">
        <v>1645</v>
      </c>
      <c r="U813" s="38">
        <f t="shared" si="225"/>
        <v>1.4066666666666665</v>
      </c>
      <c r="X813" s="38" t="s">
        <v>168</v>
      </c>
      <c r="AB813" s="38" t="s">
        <v>1573</v>
      </c>
      <c r="AC813" s="38" t="s">
        <v>301</v>
      </c>
      <c r="AD813" s="153" t="str">
        <f t="shared" si="221"/>
        <v>Vetch</v>
      </c>
      <c r="AE813" s="38" t="s">
        <v>709</v>
      </c>
      <c r="AJ813" s="38" t="s">
        <v>712</v>
      </c>
      <c r="AK813" s="38" t="s">
        <v>712</v>
      </c>
      <c r="AL813" s="38" t="s">
        <v>230</v>
      </c>
      <c r="AM813" s="38">
        <v>101</v>
      </c>
      <c r="AN813" s="38">
        <v>101</v>
      </c>
      <c r="AO813" s="38" t="s">
        <v>230</v>
      </c>
      <c r="AP813" s="38" t="s">
        <v>208</v>
      </c>
      <c r="AQ813" s="38">
        <v>4</v>
      </c>
      <c r="AR813" s="38">
        <v>4</v>
      </c>
      <c r="AS813" s="38" t="s">
        <v>404</v>
      </c>
      <c r="AW813" s="64"/>
      <c r="AX813" s="38" t="s">
        <v>708</v>
      </c>
      <c r="BH813" s="38">
        <f>0.1*11.72</f>
        <v>1.1720000000000002</v>
      </c>
      <c r="BI813" s="38">
        <f>0.1*11.36</f>
        <v>1.1359999999999999</v>
      </c>
      <c r="BJ813" s="38" t="s">
        <v>1394</v>
      </c>
      <c r="BK813" s="38">
        <v>1.31</v>
      </c>
      <c r="BL813" s="38">
        <v>1.19</v>
      </c>
      <c r="BW813" s="38" t="s">
        <v>777</v>
      </c>
      <c r="BX813" s="38" t="s">
        <v>777</v>
      </c>
      <c r="DS813" s="38">
        <v>61.36</v>
      </c>
      <c r="DT813" s="38">
        <v>70.5</v>
      </c>
      <c r="DU813" s="38" t="s">
        <v>711</v>
      </c>
      <c r="EW813" s="38">
        <v>99999</v>
      </c>
      <c r="EX813" s="38">
        <v>99999</v>
      </c>
      <c r="FA813" s="38" t="s">
        <v>740</v>
      </c>
      <c r="FB813" s="38" t="s">
        <v>1107</v>
      </c>
      <c r="FC813" s="38">
        <v>40</v>
      </c>
    </row>
    <row r="814" spans="1:159" s="38" customFormat="1" x14ac:dyDescent="0.25">
      <c r="A814" s="38">
        <v>40</v>
      </c>
      <c r="B814" s="38" t="s">
        <v>706</v>
      </c>
      <c r="C814" s="38" t="s">
        <v>707</v>
      </c>
      <c r="D814" s="38">
        <v>2015</v>
      </c>
      <c r="E814" s="38">
        <v>2013</v>
      </c>
      <c r="F814" s="38" t="s">
        <v>162</v>
      </c>
      <c r="G814" s="38" t="s">
        <v>719</v>
      </c>
      <c r="H814" s="38">
        <v>35.619999999999997</v>
      </c>
      <c r="I814" s="38">
        <v>-88.85</v>
      </c>
      <c r="J814" s="38">
        <v>107.7</v>
      </c>
      <c r="N814" s="38">
        <v>1375</v>
      </c>
      <c r="P814" s="57" t="s">
        <v>207</v>
      </c>
      <c r="Q814" s="57"/>
      <c r="R814" s="57"/>
      <c r="S814" s="57" t="s">
        <v>1645</v>
      </c>
      <c r="T814" s="57" t="s">
        <v>1645</v>
      </c>
      <c r="U814" s="38">
        <f t="shared" si="225"/>
        <v>1.4066666666666665</v>
      </c>
      <c r="X814" s="38" t="s">
        <v>168</v>
      </c>
      <c r="AB814" s="38" t="s">
        <v>1573</v>
      </c>
      <c r="AC814" s="38" t="s">
        <v>150</v>
      </c>
      <c r="AD814" s="153" t="str">
        <f t="shared" si="221"/>
        <v>Wheat</v>
      </c>
      <c r="AE814" s="38" t="s">
        <v>709</v>
      </c>
      <c r="AJ814" s="38" t="s">
        <v>712</v>
      </c>
      <c r="AK814" s="38" t="s">
        <v>712</v>
      </c>
      <c r="AL814" s="38" t="s">
        <v>230</v>
      </c>
      <c r="AM814" s="38">
        <v>101</v>
      </c>
      <c r="AN814" s="38">
        <v>101</v>
      </c>
      <c r="AO814" s="38" t="s">
        <v>230</v>
      </c>
      <c r="AP814" s="38" t="s">
        <v>208</v>
      </c>
      <c r="AQ814" s="38">
        <v>4</v>
      </c>
      <c r="AR814" s="38">
        <v>4</v>
      </c>
      <c r="AS814" s="38" t="s">
        <v>404</v>
      </c>
      <c r="AW814" s="64"/>
      <c r="AX814" s="38" t="s">
        <v>708</v>
      </c>
      <c r="BH814" s="38">
        <f>0.1*11.72</f>
        <v>1.1720000000000002</v>
      </c>
      <c r="BI814" s="38">
        <f>0.1*12.13</f>
        <v>1.2130000000000001</v>
      </c>
      <c r="BJ814" s="38" t="s">
        <v>1394</v>
      </c>
      <c r="BK814" s="38">
        <v>1.31</v>
      </c>
      <c r="BL814" s="38">
        <v>1.2</v>
      </c>
      <c r="BW814" s="38" t="s">
        <v>777</v>
      </c>
      <c r="BX814" s="38" t="s">
        <v>777</v>
      </c>
      <c r="DS814" s="38">
        <v>61.36</v>
      </c>
      <c r="DT814" s="38">
        <v>54.78</v>
      </c>
      <c r="DU814" s="38" t="s">
        <v>711</v>
      </c>
      <c r="EW814" s="38">
        <v>99999</v>
      </c>
      <c r="EX814" s="38">
        <v>99999</v>
      </c>
      <c r="FA814" s="38" t="s">
        <v>740</v>
      </c>
      <c r="FB814" s="38" t="s">
        <v>1107</v>
      </c>
      <c r="FC814" s="38">
        <v>40</v>
      </c>
    </row>
    <row r="815" spans="1:159" s="26" customFormat="1" x14ac:dyDescent="0.25">
      <c r="A815" s="26">
        <v>41</v>
      </c>
      <c r="B815" s="26" t="s">
        <v>717</v>
      </c>
      <c r="C815" s="26" t="s">
        <v>718</v>
      </c>
      <c r="D815" s="26">
        <v>1994</v>
      </c>
      <c r="E815" s="26">
        <v>1986</v>
      </c>
      <c r="F815" s="26" t="s">
        <v>524</v>
      </c>
      <c r="G815" s="26" t="s">
        <v>720</v>
      </c>
      <c r="H815" s="26">
        <v>38.03</v>
      </c>
      <c r="I815" s="26">
        <v>-84.51</v>
      </c>
      <c r="J815" s="26">
        <v>299.60000000000002</v>
      </c>
      <c r="P815" s="52" t="s">
        <v>180</v>
      </c>
      <c r="Q815" s="52"/>
      <c r="R815" s="52" t="s">
        <v>257</v>
      </c>
      <c r="S815" s="52" t="s">
        <v>1644</v>
      </c>
      <c r="T815" s="52" t="s">
        <v>1644</v>
      </c>
      <c r="U815" s="26">
        <v>1.05</v>
      </c>
      <c r="V815" s="26">
        <v>7.3</v>
      </c>
      <c r="W815" s="26">
        <v>70.2</v>
      </c>
      <c r="X815" s="26" t="s">
        <v>168</v>
      </c>
      <c r="Y815" s="26">
        <v>5.48</v>
      </c>
      <c r="Z815" s="26">
        <v>1.1599999999999999</v>
      </c>
      <c r="AB815" s="26" t="s">
        <v>1574</v>
      </c>
      <c r="AC815" s="26" t="s">
        <v>166</v>
      </c>
      <c r="AD815" s="153" t="str">
        <f t="shared" si="221"/>
        <v>Rye</v>
      </c>
      <c r="AE815" s="26" t="s">
        <v>167</v>
      </c>
      <c r="AP815" s="26" t="s">
        <v>154</v>
      </c>
      <c r="AQ815" s="26">
        <v>2</v>
      </c>
      <c r="AR815" s="26">
        <v>2</v>
      </c>
      <c r="AS815" s="26" t="s">
        <v>177</v>
      </c>
      <c r="AW815" s="63"/>
      <c r="DA815" s="26">
        <v>46.84</v>
      </c>
      <c r="DB815" s="26">
        <v>51.58</v>
      </c>
      <c r="DC815" s="26" t="s">
        <v>721</v>
      </c>
      <c r="FA815" s="26" t="s">
        <v>872</v>
      </c>
      <c r="FC815" s="26">
        <v>41</v>
      </c>
    </row>
    <row r="816" spans="1:159" s="26" customFormat="1" x14ac:dyDescent="0.25">
      <c r="A816" s="26">
        <v>41</v>
      </c>
      <c r="B816" s="26" t="s">
        <v>717</v>
      </c>
      <c r="C816" s="26" t="s">
        <v>718</v>
      </c>
      <c r="D816" s="26">
        <v>1994</v>
      </c>
      <c r="E816" s="26">
        <v>1986</v>
      </c>
      <c r="F816" s="26" t="s">
        <v>524</v>
      </c>
      <c r="G816" s="26" t="s">
        <v>720</v>
      </c>
      <c r="H816" s="26">
        <v>38.03</v>
      </c>
      <c r="I816" s="26">
        <v>-84.51</v>
      </c>
      <c r="J816" s="26">
        <v>299.60000000000002</v>
      </c>
      <c r="P816" s="52" t="s">
        <v>180</v>
      </c>
      <c r="Q816" s="52"/>
      <c r="R816" s="52" t="s">
        <v>722</v>
      </c>
      <c r="S816" s="52" t="s">
        <v>1644</v>
      </c>
      <c r="T816" s="52" t="s">
        <v>1644</v>
      </c>
      <c r="U816" s="26">
        <v>1.05</v>
      </c>
      <c r="V816" s="26">
        <v>7.3</v>
      </c>
      <c r="W816" s="26">
        <v>70.2</v>
      </c>
      <c r="X816" s="26" t="s">
        <v>168</v>
      </c>
      <c r="Y816" s="26">
        <v>5.48</v>
      </c>
      <c r="Z816" s="26">
        <v>1.1599999999999999</v>
      </c>
      <c r="AB816" s="26" t="s">
        <v>1574</v>
      </c>
      <c r="AC816" s="26" t="s">
        <v>166</v>
      </c>
      <c r="AD816" s="153" t="str">
        <f t="shared" si="221"/>
        <v>Rye</v>
      </c>
      <c r="AE816" s="26" t="s">
        <v>167</v>
      </c>
      <c r="AP816" s="26" t="s">
        <v>154</v>
      </c>
      <c r="AQ816" s="26">
        <v>2</v>
      </c>
      <c r="AR816" s="26">
        <v>2</v>
      </c>
      <c r="AS816" s="26" t="s">
        <v>177</v>
      </c>
      <c r="AW816" s="63"/>
      <c r="DA816" s="26">
        <v>0.25</v>
      </c>
      <c r="DB816" s="26">
        <v>0.25</v>
      </c>
      <c r="DC816" s="26" t="s">
        <v>721</v>
      </c>
      <c r="FA816" s="26" t="s">
        <v>872</v>
      </c>
      <c r="FC816" s="26">
        <v>41</v>
      </c>
    </row>
    <row r="817" spans="1:159" s="26" customFormat="1" x14ac:dyDescent="0.25">
      <c r="A817" s="26">
        <v>41</v>
      </c>
      <c r="B817" s="26" t="s">
        <v>717</v>
      </c>
      <c r="C817" s="26" t="s">
        <v>718</v>
      </c>
      <c r="D817" s="26">
        <v>1994</v>
      </c>
      <c r="E817" s="26">
        <v>1986</v>
      </c>
      <c r="F817" s="26" t="s">
        <v>524</v>
      </c>
      <c r="G817" s="26" t="s">
        <v>720</v>
      </c>
      <c r="H817" s="26">
        <v>38.03</v>
      </c>
      <c r="I817" s="26">
        <v>-84.51</v>
      </c>
      <c r="J817" s="26">
        <v>299.60000000000002</v>
      </c>
      <c r="P817" s="52" t="s">
        <v>180</v>
      </c>
      <c r="Q817" s="52"/>
      <c r="R817" s="52" t="s">
        <v>284</v>
      </c>
      <c r="S817" s="52" t="s">
        <v>1644</v>
      </c>
      <c r="T817" s="52" t="s">
        <v>1644</v>
      </c>
      <c r="U817" s="26">
        <v>1.05</v>
      </c>
      <c r="V817" s="26">
        <v>7.3</v>
      </c>
      <c r="W817" s="26">
        <v>70.2</v>
      </c>
      <c r="X817" s="26" t="s">
        <v>168</v>
      </c>
      <c r="Y817" s="26">
        <v>5.48</v>
      </c>
      <c r="Z817" s="26">
        <v>1.1599999999999999</v>
      </c>
      <c r="AB817" s="26" t="s">
        <v>1574</v>
      </c>
      <c r="AC817" s="26" t="s">
        <v>166</v>
      </c>
      <c r="AD817" s="153" t="str">
        <f t="shared" si="221"/>
        <v>Rye</v>
      </c>
      <c r="AE817" s="26" t="s">
        <v>167</v>
      </c>
      <c r="AP817" s="26" t="s">
        <v>154</v>
      </c>
      <c r="AQ817" s="26">
        <v>2</v>
      </c>
      <c r="AR817" s="26">
        <v>2</v>
      </c>
      <c r="AS817" s="26" t="s">
        <v>177</v>
      </c>
      <c r="AW817" s="63"/>
      <c r="DA817" s="26">
        <v>0.05</v>
      </c>
      <c r="DB817" s="26">
        <v>0.05</v>
      </c>
      <c r="DC817" s="26" t="s">
        <v>721</v>
      </c>
      <c r="FA817" s="26" t="s">
        <v>872</v>
      </c>
      <c r="FC817" s="26">
        <v>41</v>
      </c>
    </row>
    <row r="818" spans="1:159" s="26" customFormat="1" x14ac:dyDescent="0.25">
      <c r="A818" s="26">
        <v>41</v>
      </c>
      <c r="B818" s="26" t="s">
        <v>717</v>
      </c>
      <c r="C818" s="26" t="s">
        <v>718</v>
      </c>
      <c r="D818" s="26">
        <v>1994</v>
      </c>
      <c r="E818" s="26">
        <v>1986</v>
      </c>
      <c r="F818" s="26" t="s">
        <v>524</v>
      </c>
      <c r="G818" s="26" t="s">
        <v>720</v>
      </c>
      <c r="H818" s="26">
        <v>38.03</v>
      </c>
      <c r="I818" s="26">
        <v>-84.51</v>
      </c>
      <c r="J818" s="26">
        <v>299.60000000000002</v>
      </c>
      <c r="P818" s="52" t="s">
        <v>180</v>
      </c>
      <c r="Q818" s="52"/>
      <c r="R818" s="52" t="s">
        <v>723</v>
      </c>
      <c r="S818" s="52" t="s">
        <v>1644</v>
      </c>
      <c r="T818" s="52" t="s">
        <v>1644</v>
      </c>
      <c r="U818" s="26">
        <v>1.05</v>
      </c>
      <c r="V818" s="26">
        <v>7.3</v>
      </c>
      <c r="W818" s="26">
        <v>70.2</v>
      </c>
      <c r="X818" s="26" t="s">
        <v>168</v>
      </c>
      <c r="Y818" s="26">
        <v>5.48</v>
      </c>
      <c r="Z818" s="26">
        <v>1.1599999999999999</v>
      </c>
      <c r="AB818" s="26" t="s">
        <v>1574</v>
      </c>
      <c r="AC818" s="26" t="s">
        <v>166</v>
      </c>
      <c r="AD818" s="153" t="str">
        <f t="shared" si="221"/>
        <v>Rye</v>
      </c>
      <c r="AE818" s="26" t="s">
        <v>167</v>
      </c>
      <c r="AP818" s="26" t="s">
        <v>154</v>
      </c>
      <c r="AQ818" s="26">
        <v>2</v>
      </c>
      <c r="AR818" s="26">
        <v>2</v>
      </c>
      <c r="AS818" s="26" t="s">
        <v>177</v>
      </c>
      <c r="AW818" s="63"/>
      <c r="DA818" s="26">
        <v>0.3</v>
      </c>
      <c r="DB818" s="26">
        <v>0.3</v>
      </c>
      <c r="DC818" s="26" t="s">
        <v>721</v>
      </c>
      <c r="FA818" s="26" t="s">
        <v>872</v>
      </c>
      <c r="FC818" s="26">
        <v>41</v>
      </c>
    </row>
    <row r="819" spans="1:159" s="26" customFormat="1" x14ac:dyDescent="0.25">
      <c r="A819" s="26">
        <v>41</v>
      </c>
      <c r="B819" s="26" t="s">
        <v>717</v>
      </c>
      <c r="C819" s="26" t="s">
        <v>718</v>
      </c>
      <c r="D819" s="26">
        <v>1994</v>
      </c>
      <c r="E819" s="26">
        <v>1986</v>
      </c>
      <c r="F819" s="26" t="s">
        <v>524</v>
      </c>
      <c r="G819" s="26" t="s">
        <v>720</v>
      </c>
      <c r="H819" s="26">
        <v>38.03</v>
      </c>
      <c r="I819" s="26">
        <v>-84.51</v>
      </c>
      <c r="J819" s="26">
        <v>299.60000000000002</v>
      </c>
      <c r="P819" s="52" t="s">
        <v>180</v>
      </c>
      <c r="Q819" s="52"/>
      <c r="R819" s="52" t="s">
        <v>724</v>
      </c>
      <c r="S819" s="52" t="s">
        <v>1644</v>
      </c>
      <c r="T819" s="52" t="s">
        <v>1644</v>
      </c>
      <c r="U819" s="26">
        <v>1.05</v>
      </c>
      <c r="V819" s="26">
        <v>7.3</v>
      </c>
      <c r="W819" s="26">
        <v>70.2</v>
      </c>
      <c r="X819" s="26" t="s">
        <v>168</v>
      </c>
      <c r="Y819" s="26">
        <v>5.48</v>
      </c>
      <c r="Z819" s="26">
        <v>1.1599999999999999</v>
      </c>
      <c r="AB819" s="26" t="s">
        <v>1574</v>
      </c>
      <c r="AC819" s="26" t="s">
        <v>166</v>
      </c>
      <c r="AD819" s="153" t="str">
        <f t="shared" si="221"/>
        <v>Rye</v>
      </c>
      <c r="AE819" s="26" t="s">
        <v>167</v>
      </c>
      <c r="AP819" s="26" t="s">
        <v>154</v>
      </c>
      <c r="AQ819" s="26">
        <v>2</v>
      </c>
      <c r="AR819" s="26">
        <v>2</v>
      </c>
      <c r="AS819" s="26" t="s">
        <v>177</v>
      </c>
      <c r="AW819" s="63"/>
      <c r="DA819" s="26">
        <v>0.03</v>
      </c>
      <c r="DB819" s="26">
        <v>0.03</v>
      </c>
      <c r="DC819" s="26" t="s">
        <v>721</v>
      </c>
      <c r="FA819" s="26" t="s">
        <v>872</v>
      </c>
      <c r="FC819" s="26">
        <v>41</v>
      </c>
    </row>
    <row r="820" spans="1:159" s="26" customFormat="1" x14ac:dyDescent="0.25">
      <c r="A820" s="26">
        <v>41</v>
      </c>
      <c r="B820" s="26" t="s">
        <v>717</v>
      </c>
      <c r="C820" s="26" t="s">
        <v>718</v>
      </c>
      <c r="D820" s="26">
        <v>1994</v>
      </c>
      <c r="E820" s="26">
        <v>1986</v>
      </c>
      <c r="F820" s="26" t="s">
        <v>524</v>
      </c>
      <c r="G820" s="26" t="s">
        <v>720</v>
      </c>
      <c r="H820" s="26">
        <v>38.03</v>
      </c>
      <c r="I820" s="26">
        <v>-84.51</v>
      </c>
      <c r="J820" s="26">
        <v>299.60000000000002</v>
      </c>
      <c r="P820" s="52" t="s">
        <v>180</v>
      </c>
      <c r="Q820" s="52"/>
      <c r="R820" s="52" t="s">
        <v>637</v>
      </c>
      <c r="S820" s="52" t="s">
        <v>1644</v>
      </c>
      <c r="T820" s="52" t="s">
        <v>1644</v>
      </c>
      <c r="U820" s="26">
        <v>1.05</v>
      </c>
      <c r="V820" s="26">
        <v>7.3</v>
      </c>
      <c r="W820" s="26">
        <v>70.2</v>
      </c>
      <c r="X820" s="26" t="s">
        <v>168</v>
      </c>
      <c r="Y820" s="26">
        <v>5.48</v>
      </c>
      <c r="Z820" s="26">
        <v>1.1599999999999999</v>
      </c>
      <c r="AB820" s="26" t="s">
        <v>1574</v>
      </c>
      <c r="AC820" s="26" t="s">
        <v>166</v>
      </c>
      <c r="AD820" s="153" t="str">
        <f t="shared" si="221"/>
        <v>Rye</v>
      </c>
      <c r="AE820" s="26" t="s">
        <v>167</v>
      </c>
      <c r="AP820" s="26" t="s">
        <v>154</v>
      </c>
      <c r="AQ820" s="26">
        <v>2</v>
      </c>
      <c r="AR820" s="26">
        <v>2</v>
      </c>
      <c r="AS820" s="26" t="s">
        <v>177</v>
      </c>
      <c r="AW820" s="63"/>
      <c r="DA820" s="26">
        <v>34.22</v>
      </c>
      <c r="DB820" s="26">
        <v>26.66</v>
      </c>
      <c r="DC820" s="26" t="s">
        <v>721</v>
      </c>
      <c r="FA820" s="26" t="s">
        <v>872</v>
      </c>
      <c r="FC820" s="26">
        <v>41</v>
      </c>
    </row>
    <row r="821" spans="1:159" s="35" customFormat="1" x14ac:dyDescent="0.25">
      <c r="A821" s="35">
        <v>41</v>
      </c>
      <c r="B821" s="35" t="s">
        <v>717</v>
      </c>
      <c r="C821" s="35" t="s">
        <v>718</v>
      </c>
      <c r="D821" s="35">
        <v>1994</v>
      </c>
      <c r="E821" s="35">
        <v>1987</v>
      </c>
      <c r="F821" s="35" t="s">
        <v>524</v>
      </c>
      <c r="G821" s="35" t="s">
        <v>720</v>
      </c>
      <c r="H821" s="35">
        <v>38.03</v>
      </c>
      <c r="I821" s="35">
        <v>-84.51</v>
      </c>
      <c r="J821" s="35">
        <v>299.60000000000002</v>
      </c>
      <c r="P821" s="54" t="s">
        <v>181</v>
      </c>
      <c r="Q821" s="54"/>
      <c r="R821" s="54" t="s">
        <v>728</v>
      </c>
      <c r="S821" s="54" t="s">
        <v>1644</v>
      </c>
      <c r="T821" s="54" t="s">
        <v>1644</v>
      </c>
      <c r="U821" s="35">
        <v>1.05</v>
      </c>
      <c r="V821" s="35">
        <v>7.3</v>
      </c>
      <c r="W821" s="35">
        <v>70.2</v>
      </c>
      <c r="X821" s="35" t="s">
        <v>168</v>
      </c>
      <c r="Y821" s="35">
        <v>5.48</v>
      </c>
      <c r="Z821" s="35">
        <v>1.1599999999999999</v>
      </c>
      <c r="AB821" s="35" t="s">
        <v>1574</v>
      </c>
      <c r="AC821" s="35" t="s">
        <v>166</v>
      </c>
      <c r="AD821" s="153" t="str">
        <f t="shared" si="221"/>
        <v>Rye</v>
      </c>
      <c r="AE821" s="35" t="s">
        <v>167</v>
      </c>
      <c r="AP821" s="35" t="s">
        <v>154</v>
      </c>
      <c r="AQ821" s="35">
        <v>2</v>
      </c>
      <c r="AR821" s="35">
        <v>2</v>
      </c>
      <c r="AS821" s="35" t="s">
        <v>177</v>
      </c>
      <c r="AW821" s="63"/>
      <c r="DA821" s="35">
        <v>84.75</v>
      </c>
      <c r="DB821" s="35">
        <v>81.73</v>
      </c>
      <c r="DC821" s="35" t="s">
        <v>721</v>
      </c>
      <c r="FA821" s="35" t="s">
        <v>872</v>
      </c>
      <c r="FC821" s="35">
        <v>41</v>
      </c>
    </row>
    <row r="822" spans="1:159" s="35" customFormat="1" x14ac:dyDescent="0.25">
      <c r="A822" s="35">
        <v>41</v>
      </c>
      <c r="B822" s="35" t="s">
        <v>717</v>
      </c>
      <c r="C822" s="35" t="s">
        <v>718</v>
      </c>
      <c r="D822" s="35">
        <v>1994</v>
      </c>
      <c r="E822" s="35">
        <v>1987</v>
      </c>
      <c r="F822" s="35" t="s">
        <v>524</v>
      </c>
      <c r="G822" s="35" t="s">
        <v>720</v>
      </c>
      <c r="H822" s="35">
        <v>38.03</v>
      </c>
      <c r="I822" s="35">
        <v>-84.51</v>
      </c>
      <c r="J822" s="35">
        <v>299.60000000000002</v>
      </c>
      <c r="P822" s="54" t="s">
        <v>181</v>
      </c>
      <c r="Q822" s="54"/>
      <c r="R822" s="54" t="s">
        <v>729</v>
      </c>
      <c r="S822" s="54" t="s">
        <v>1644</v>
      </c>
      <c r="T822" s="54" t="s">
        <v>1644</v>
      </c>
      <c r="U822" s="35">
        <v>1.05</v>
      </c>
      <c r="V822" s="35">
        <v>7.3</v>
      </c>
      <c r="W822" s="35">
        <v>70.2</v>
      </c>
      <c r="X822" s="35" t="s">
        <v>168</v>
      </c>
      <c r="Y822" s="35">
        <v>5.48</v>
      </c>
      <c r="Z822" s="35">
        <v>1.1599999999999999</v>
      </c>
      <c r="AB822" s="35" t="s">
        <v>1574</v>
      </c>
      <c r="AC822" s="35" t="s">
        <v>166</v>
      </c>
      <c r="AD822" s="153" t="str">
        <f t="shared" si="221"/>
        <v>Rye</v>
      </c>
      <c r="AE822" s="35" t="s">
        <v>167</v>
      </c>
      <c r="AP822" s="35" t="s">
        <v>154</v>
      </c>
      <c r="AQ822" s="35">
        <v>2</v>
      </c>
      <c r="AR822" s="35">
        <v>2</v>
      </c>
      <c r="AS822" s="35" t="s">
        <v>177</v>
      </c>
      <c r="AW822" s="63"/>
      <c r="DA822" s="35">
        <v>87.58</v>
      </c>
      <c r="DB822" s="35">
        <v>85.64</v>
      </c>
      <c r="DC822" s="35" t="s">
        <v>721</v>
      </c>
      <c r="FA822" s="35" t="s">
        <v>872</v>
      </c>
      <c r="FC822" s="35">
        <v>41</v>
      </c>
    </row>
    <row r="823" spans="1:159" s="35" customFormat="1" x14ac:dyDescent="0.25">
      <c r="A823" s="35">
        <v>41</v>
      </c>
      <c r="B823" s="35" t="s">
        <v>717</v>
      </c>
      <c r="C823" s="35" t="s">
        <v>718</v>
      </c>
      <c r="D823" s="35">
        <v>1994</v>
      </c>
      <c r="E823" s="35">
        <v>1987</v>
      </c>
      <c r="F823" s="35" t="s">
        <v>524</v>
      </c>
      <c r="G823" s="35" t="s">
        <v>720</v>
      </c>
      <c r="H823" s="35">
        <v>38.03</v>
      </c>
      <c r="I823" s="35">
        <v>-84.51</v>
      </c>
      <c r="J823" s="35">
        <v>299.60000000000002</v>
      </c>
      <c r="P823" s="54" t="s">
        <v>181</v>
      </c>
      <c r="Q823" s="54"/>
      <c r="R823" s="54" t="s">
        <v>269</v>
      </c>
      <c r="S823" s="54" t="s">
        <v>1644</v>
      </c>
      <c r="T823" s="54" t="s">
        <v>1644</v>
      </c>
      <c r="U823" s="35">
        <v>1.05</v>
      </c>
      <c r="V823" s="35">
        <v>7.3</v>
      </c>
      <c r="W823" s="35">
        <v>70.2</v>
      </c>
      <c r="X823" s="35" t="s">
        <v>168</v>
      </c>
      <c r="Y823" s="35">
        <v>5.48</v>
      </c>
      <c r="Z823" s="35">
        <v>1.1599999999999999</v>
      </c>
      <c r="AB823" s="35" t="s">
        <v>1574</v>
      </c>
      <c r="AC823" s="35" t="s">
        <v>166</v>
      </c>
      <c r="AD823" s="153" t="str">
        <f t="shared" si="221"/>
        <v>Rye</v>
      </c>
      <c r="AE823" s="35" t="s">
        <v>167</v>
      </c>
      <c r="AP823" s="35" t="s">
        <v>154</v>
      </c>
      <c r="AQ823" s="35">
        <v>2</v>
      </c>
      <c r="AR823" s="35">
        <v>2</v>
      </c>
      <c r="AS823" s="35" t="s">
        <v>177</v>
      </c>
      <c r="AW823" s="63"/>
      <c r="DA823" s="35">
        <v>95.59</v>
      </c>
      <c r="DB823" s="35">
        <v>74.66</v>
      </c>
      <c r="DC823" s="35" t="s">
        <v>721</v>
      </c>
      <c r="FA823" s="35" t="s">
        <v>872</v>
      </c>
      <c r="FC823" s="35">
        <v>41</v>
      </c>
    </row>
    <row r="824" spans="1:159" s="35" customFormat="1" x14ac:dyDescent="0.25">
      <c r="A824" s="35">
        <v>41</v>
      </c>
      <c r="B824" s="35" t="s">
        <v>717</v>
      </c>
      <c r="C824" s="35" t="s">
        <v>718</v>
      </c>
      <c r="D824" s="35">
        <v>1994</v>
      </c>
      <c r="E824" s="35">
        <v>1987</v>
      </c>
      <c r="F824" s="35" t="s">
        <v>524</v>
      </c>
      <c r="G824" s="35" t="s">
        <v>720</v>
      </c>
      <c r="H824" s="35">
        <v>38.03</v>
      </c>
      <c r="I824" s="35">
        <v>-84.51</v>
      </c>
      <c r="J824" s="35">
        <v>299.60000000000002</v>
      </c>
      <c r="P824" s="54" t="s">
        <v>181</v>
      </c>
      <c r="Q824" s="54"/>
      <c r="R824" s="54" t="s">
        <v>726</v>
      </c>
      <c r="S824" s="54" t="s">
        <v>1644</v>
      </c>
      <c r="T824" s="54" t="s">
        <v>1644</v>
      </c>
      <c r="U824" s="35">
        <v>1.05</v>
      </c>
      <c r="V824" s="35">
        <v>7.3</v>
      </c>
      <c r="W824" s="35">
        <v>70.2</v>
      </c>
      <c r="X824" s="35" t="s">
        <v>168</v>
      </c>
      <c r="Y824" s="35">
        <v>5.48</v>
      </c>
      <c r="Z824" s="35">
        <v>1.1599999999999999</v>
      </c>
      <c r="AB824" s="35" t="s">
        <v>1574</v>
      </c>
      <c r="AC824" s="35" t="s">
        <v>166</v>
      </c>
      <c r="AD824" s="153" t="str">
        <f t="shared" si="221"/>
        <v>Rye</v>
      </c>
      <c r="AE824" s="35" t="s">
        <v>167</v>
      </c>
      <c r="AP824" s="35" t="s">
        <v>154</v>
      </c>
      <c r="AQ824" s="35">
        <v>2</v>
      </c>
      <c r="AR824" s="35">
        <v>2</v>
      </c>
      <c r="AS824" s="35" t="s">
        <v>177</v>
      </c>
      <c r="AW824" s="63"/>
      <c r="DA824" s="35">
        <v>79.63</v>
      </c>
      <c r="DB824" s="35">
        <v>51.37</v>
      </c>
      <c r="DC824" s="35" t="s">
        <v>721</v>
      </c>
      <c r="FA824" s="35" t="s">
        <v>872</v>
      </c>
      <c r="FC824" s="35">
        <v>41</v>
      </c>
    </row>
    <row r="825" spans="1:159" s="35" customFormat="1" x14ac:dyDescent="0.25">
      <c r="A825" s="35">
        <v>41</v>
      </c>
      <c r="B825" s="35" t="s">
        <v>717</v>
      </c>
      <c r="C825" s="35" t="s">
        <v>718</v>
      </c>
      <c r="D825" s="35">
        <v>1994</v>
      </c>
      <c r="E825" s="35">
        <v>1987</v>
      </c>
      <c r="F825" s="35" t="s">
        <v>524</v>
      </c>
      <c r="G825" s="35" t="s">
        <v>720</v>
      </c>
      <c r="H825" s="35">
        <v>38.03</v>
      </c>
      <c r="I825" s="35">
        <v>-84.51</v>
      </c>
      <c r="J825" s="35">
        <v>299.60000000000002</v>
      </c>
      <c r="P825" s="54" t="s">
        <v>181</v>
      </c>
      <c r="Q825" s="54"/>
      <c r="R825" s="54" t="s">
        <v>257</v>
      </c>
      <c r="S825" s="54" t="s">
        <v>1644</v>
      </c>
      <c r="T825" s="54" t="s">
        <v>1644</v>
      </c>
      <c r="U825" s="35">
        <v>1.05</v>
      </c>
      <c r="V825" s="35">
        <v>7.3</v>
      </c>
      <c r="W825" s="35">
        <v>70.2</v>
      </c>
      <c r="X825" s="35" t="s">
        <v>168</v>
      </c>
      <c r="Y825" s="35">
        <v>5.48</v>
      </c>
      <c r="Z825" s="35">
        <v>1.1599999999999999</v>
      </c>
      <c r="AB825" s="35" t="s">
        <v>1574</v>
      </c>
      <c r="AC825" s="35" t="s">
        <v>166</v>
      </c>
      <c r="AD825" s="153" t="str">
        <f t="shared" si="221"/>
        <v>Rye</v>
      </c>
      <c r="AE825" s="35" t="s">
        <v>167</v>
      </c>
      <c r="AP825" s="35" t="s">
        <v>154</v>
      </c>
      <c r="AQ825" s="35">
        <v>2</v>
      </c>
      <c r="AR825" s="35">
        <v>2</v>
      </c>
      <c r="AS825" s="35" t="s">
        <v>177</v>
      </c>
      <c r="AW825" s="63"/>
      <c r="DA825" s="35">
        <v>17.940000000000001</v>
      </c>
      <c r="DB825" s="35">
        <v>0.24</v>
      </c>
      <c r="DC825" s="35" t="s">
        <v>721</v>
      </c>
      <c r="FA825" s="35" t="s">
        <v>872</v>
      </c>
      <c r="FC825" s="35">
        <v>41</v>
      </c>
    </row>
    <row r="826" spans="1:159" s="35" customFormat="1" x14ac:dyDescent="0.25">
      <c r="A826" s="35">
        <v>41</v>
      </c>
      <c r="B826" s="35" t="s">
        <v>717</v>
      </c>
      <c r="C826" s="35" t="s">
        <v>718</v>
      </c>
      <c r="D826" s="35">
        <v>1994</v>
      </c>
      <c r="E826" s="35">
        <v>1987</v>
      </c>
      <c r="F826" s="35" t="s">
        <v>524</v>
      </c>
      <c r="G826" s="35" t="s">
        <v>720</v>
      </c>
      <c r="H826" s="35">
        <v>38.03</v>
      </c>
      <c r="I826" s="35">
        <v>-84.51</v>
      </c>
      <c r="J826" s="35">
        <v>299.60000000000002</v>
      </c>
      <c r="P826" s="54" t="s">
        <v>181</v>
      </c>
      <c r="Q826" s="54"/>
      <c r="R826" s="54" t="s">
        <v>722</v>
      </c>
      <c r="S826" s="54" t="s">
        <v>1644</v>
      </c>
      <c r="T826" s="54" t="s">
        <v>1644</v>
      </c>
      <c r="U826" s="35">
        <v>1.05</v>
      </c>
      <c r="V826" s="35">
        <v>7.3</v>
      </c>
      <c r="W826" s="35">
        <v>70.2</v>
      </c>
      <c r="X826" s="35" t="s">
        <v>168</v>
      </c>
      <c r="Y826" s="35">
        <v>5.48</v>
      </c>
      <c r="Z826" s="35">
        <v>1.1599999999999999</v>
      </c>
      <c r="AB826" s="35" t="s">
        <v>1574</v>
      </c>
      <c r="AC826" s="35" t="s">
        <v>166</v>
      </c>
      <c r="AD826" s="153" t="str">
        <f t="shared" si="221"/>
        <v>Rye</v>
      </c>
      <c r="AE826" s="35" t="s">
        <v>167</v>
      </c>
      <c r="AP826" s="35" t="s">
        <v>154</v>
      </c>
      <c r="AQ826" s="35">
        <v>2</v>
      </c>
      <c r="AR826" s="35">
        <v>2</v>
      </c>
      <c r="AS826" s="35" t="s">
        <v>177</v>
      </c>
      <c r="AW826" s="63"/>
      <c r="DA826" s="35">
        <v>30.46</v>
      </c>
      <c r="DB826" s="35">
        <v>0.26</v>
      </c>
      <c r="DC826" s="35" t="s">
        <v>721</v>
      </c>
      <c r="FA826" s="35" t="s">
        <v>872</v>
      </c>
      <c r="FC826" s="35">
        <v>41</v>
      </c>
    </row>
    <row r="827" spans="1:159" s="35" customFormat="1" x14ac:dyDescent="0.25">
      <c r="A827" s="35">
        <v>41</v>
      </c>
      <c r="B827" s="35" t="s">
        <v>717</v>
      </c>
      <c r="C827" s="35" t="s">
        <v>718</v>
      </c>
      <c r="D827" s="35">
        <v>1994</v>
      </c>
      <c r="E827" s="35">
        <v>1987</v>
      </c>
      <c r="F827" s="35" t="s">
        <v>524</v>
      </c>
      <c r="G827" s="35" t="s">
        <v>720</v>
      </c>
      <c r="H827" s="35">
        <v>38.03</v>
      </c>
      <c r="I827" s="35">
        <v>-84.51</v>
      </c>
      <c r="J827" s="35">
        <v>299.60000000000002</v>
      </c>
      <c r="P827" s="54" t="s">
        <v>181</v>
      </c>
      <c r="Q827" s="54"/>
      <c r="R827" s="54" t="s">
        <v>284</v>
      </c>
      <c r="S827" s="54" t="s">
        <v>1644</v>
      </c>
      <c r="T827" s="54" t="s">
        <v>1644</v>
      </c>
      <c r="U827" s="35">
        <v>1.05</v>
      </c>
      <c r="V827" s="35">
        <v>7.3</v>
      </c>
      <c r="W827" s="35">
        <v>70.2</v>
      </c>
      <c r="X827" s="35" t="s">
        <v>168</v>
      </c>
      <c r="Y827" s="35">
        <v>5.48</v>
      </c>
      <c r="Z827" s="35">
        <v>1.1599999999999999</v>
      </c>
      <c r="AB827" s="35" t="s">
        <v>1574</v>
      </c>
      <c r="AC827" s="35" t="s">
        <v>166</v>
      </c>
      <c r="AD827" s="153" t="str">
        <f t="shared" si="221"/>
        <v>Rye</v>
      </c>
      <c r="AE827" s="35" t="s">
        <v>167</v>
      </c>
      <c r="AP827" s="35" t="s">
        <v>154</v>
      </c>
      <c r="AQ827" s="35">
        <v>2</v>
      </c>
      <c r="AR827" s="35">
        <v>2</v>
      </c>
      <c r="AS827" s="35" t="s">
        <v>177</v>
      </c>
      <c r="AW827" s="63"/>
      <c r="DA827" s="35">
        <v>48.81</v>
      </c>
      <c r="DB827" s="35">
        <v>15.59</v>
      </c>
      <c r="DC827" s="35" t="s">
        <v>721</v>
      </c>
      <c r="FA827" s="35" t="s">
        <v>872</v>
      </c>
      <c r="FC827" s="35">
        <v>41</v>
      </c>
    </row>
    <row r="828" spans="1:159" s="35" customFormat="1" x14ac:dyDescent="0.25">
      <c r="A828" s="35">
        <v>41</v>
      </c>
      <c r="B828" s="35" t="s">
        <v>717</v>
      </c>
      <c r="C828" s="35" t="s">
        <v>718</v>
      </c>
      <c r="D828" s="35">
        <v>1994</v>
      </c>
      <c r="E828" s="35">
        <v>1987</v>
      </c>
      <c r="F828" s="35" t="s">
        <v>524</v>
      </c>
      <c r="G828" s="35" t="s">
        <v>720</v>
      </c>
      <c r="H828" s="35">
        <v>38.03</v>
      </c>
      <c r="I828" s="35">
        <v>-84.51</v>
      </c>
      <c r="J828" s="35">
        <v>299.60000000000002</v>
      </c>
      <c r="P828" s="54" t="s">
        <v>181</v>
      </c>
      <c r="Q828" s="54"/>
      <c r="R828" s="54" t="s">
        <v>723</v>
      </c>
      <c r="S828" s="54" t="s">
        <v>1644</v>
      </c>
      <c r="T828" s="54" t="s">
        <v>1644</v>
      </c>
      <c r="U828" s="35">
        <v>1.05</v>
      </c>
      <c r="V828" s="35">
        <v>7.3</v>
      </c>
      <c r="W828" s="35">
        <v>70.2</v>
      </c>
      <c r="X828" s="35" t="s">
        <v>168</v>
      </c>
      <c r="Y828" s="35">
        <v>5.48</v>
      </c>
      <c r="Z828" s="35">
        <v>1.1599999999999999</v>
      </c>
      <c r="AB828" s="35" t="s">
        <v>1574</v>
      </c>
      <c r="AC828" s="35" t="s">
        <v>166</v>
      </c>
      <c r="AD828" s="153" t="str">
        <f t="shared" si="221"/>
        <v>Rye</v>
      </c>
      <c r="AE828" s="35" t="s">
        <v>167</v>
      </c>
      <c r="AP828" s="35" t="s">
        <v>154</v>
      </c>
      <c r="AQ828" s="35">
        <v>2</v>
      </c>
      <c r="AR828" s="35">
        <v>2</v>
      </c>
      <c r="AS828" s="35" t="s">
        <v>177</v>
      </c>
      <c r="AW828" s="63"/>
      <c r="DA828" s="35">
        <v>35.020000000000003</v>
      </c>
      <c r="DB828" s="35">
        <v>35.020000000000003</v>
      </c>
      <c r="DC828" s="35" t="s">
        <v>721</v>
      </c>
      <c r="FA828" s="35" t="s">
        <v>872</v>
      </c>
      <c r="FC828" s="35">
        <v>41</v>
      </c>
    </row>
    <row r="829" spans="1:159" s="35" customFormat="1" x14ac:dyDescent="0.25">
      <c r="A829" s="35">
        <v>41</v>
      </c>
      <c r="B829" s="35" t="s">
        <v>717</v>
      </c>
      <c r="C829" s="35" t="s">
        <v>718</v>
      </c>
      <c r="D829" s="35">
        <v>1994</v>
      </c>
      <c r="E829" s="35">
        <v>1987</v>
      </c>
      <c r="F829" s="35" t="s">
        <v>524</v>
      </c>
      <c r="G829" s="35" t="s">
        <v>720</v>
      </c>
      <c r="H829" s="35">
        <v>38.03</v>
      </c>
      <c r="I829" s="35">
        <v>-84.51</v>
      </c>
      <c r="J829" s="35">
        <v>299.60000000000002</v>
      </c>
      <c r="P829" s="54" t="s">
        <v>181</v>
      </c>
      <c r="Q829" s="54"/>
      <c r="R829" s="54" t="s">
        <v>727</v>
      </c>
      <c r="S829" s="54" t="s">
        <v>1644</v>
      </c>
      <c r="T829" s="54" t="s">
        <v>1644</v>
      </c>
      <c r="U829" s="35">
        <v>1.05</v>
      </c>
      <c r="V829" s="35">
        <v>7.3</v>
      </c>
      <c r="W829" s="35">
        <v>70.2</v>
      </c>
      <c r="X829" s="35" t="s">
        <v>168</v>
      </c>
      <c r="Y829" s="35">
        <v>5.48</v>
      </c>
      <c r="Z829" s="35">
        <v>1.1599999999999999</v>
      </c>
      <c r="AB829" s="35" t="s">
        <v>1574</v>
      </c>
      <c r="AC829" s="35" t="s">
        <v>166</v>
      </c>
      <c r="AD829" s="153" t="str">
        <f t="shared" si="221"/>
        <v>Rye</v>
      </c>
      <c r="AE829" s="35" t="s">
        <v>167</v>
      </c>
      <c r="AP829" s="35" t="s">
        <v>154</v>
      </c>
      <c r="AQ829" s="35">
        <v>2</v>
      </c>
      <c r="AR829" s="35">
        <v>2</v>
      </c>
      <c r="AS829" s="35" t="s">
        <v>177</v>
      </c>
      <c r="AW829" s="63"/>
      <c r="DA829" s="35">
        <v>0.5</v>
      </c>
      <c r="DB829" s="35">
        <v>0.5</v>
      </c>
      <c r="DC829" s="35" t="s">
        <v>721</v>
      </c>
      <c r="FA829" s="35" t="s">
        <v>872</v>
      </c>
      <c r="FC829" s="35">
        <v>41</v>
      </c>
    </row>
    <row r="830" spans="1:159" s="35" customFormat="1" x14ac:dyDescent="0.25">
      <c r="A830" s="35">
        <v>41</v>
      </c>
      <c r="B830" s="35" t="s">
        <v>717</v>
      </c>
      <c r="C830" s="35" t="s">
        <v>718</v>
      </c>
      <c r="D830" s="35">
        <v>1994</v>
      </c>
      <c r="E830" s="35">
        <v>1987</v>
      </c>
      <c r="F830" s="35" t="s">
        <v>524</v>
      </c>
      <c r="G830" s="35" t="s">
        <v>720</v>
      </c>
      <c r="H830" s="35">
        <v>38.03</v>
      </c>
      <c r="I830" s="35">
        <v>-84.51</v>
      </c>
      <c r="J830" s="35">
        <v>299.60000000000002</v>
      </c>
      <c r="P830" s="54" t="s">
        <v>181</v>
      </c>
      <c r="Q830" s="54"/>
      <c r="R830" s="54" t="s">
        <v>637</v>
      </c>
      <c r="S830" s="54" t="s">
        <v>1644</v>
      </c>
      <c r="T830" s="54" t="s">
        <v>1644</v>
      </c>
      <c r="U830" s="35">
        <v>1.05</v>
      </c>
      <c r="V830" s="35">
        <v>7.3</v>
      </c>
      <c r="W830" s="35">
        <v>70.2</v>
      </c>
      <c r="X830" s="35" t="s">
        <v>168</v>
      </c>
      <c r="Y830" s="35">
        <v>5.48</v>
      </c>
      <c r="Z830" s="35">
        <v>1.1599999999999999</v>
      </c>
      <c r="AB830" s="35" t="s">
        <v>1574</v>
      </c>
      <c r="AC830" s="35" t="s">
        <v>166</v>
      </c>
      <c r="AD830" s="153" t="str">
        <f t="shared" si="221"/>
        <v>Rye</v>
      </c>
      <c r="AE830" s="35" t="s">
        <v>167</v>
      </c>
      <c r="AP830" s="35" t="s">
        <v>154</v>
      </c>
      <c r="AQ830" s="35">
        <v>2</v>
      </c>
      <c r="AR830" s="35">
        <v>2</v>
      </c>
      <c r="AS830" s="35" t="s">
        <v>177</v>
      </c>
      <c r="AW830" s="63"/>
      <c r="DA830" s="35">
        <v>0.17</v>
      </c>
      <c r="DB830" s="35">
        <v>0.17</v>
      </c>
      <c r="DC830" s="35" t="s">
        <v>721</v>
      </c>
      <c r="FA830" s="35" t="s">
        <v>872</v>
      </c>
      <c r="FC830" s="35">
        <v>41</v>
      </c>
    </row>
    <row r="831" spans="1:159" s="35" customFormat="1" x14ac:dyDescent="0.25">
      <c r="A831" s="35">
        <v>41</v>
      </c>
      <c r="B831" s="35" t="s">
        <v>717</v>
      </c>
      <c r="C831" s="35" t="s">
        <v>718</v>
      </c>
      <c r="D831" s="35">
        <v>1994</v>
      </c>
      <c r="E831" s="35">
        <v>1987</v>
      </c>
      <c r="F831" s="35" t="s">
        <v>524</v>
      </c>
      <c r="G831" s="35" t="s">
        <v>720</v>
      </c>
      <c r="H831" s="35">
        <v>38.03</v>
      </c>
      <c r="I831" s="35">
        <v>-84.51</v>
      </c>
      <c r="J831" s="35">
        <v>299.60000000000002</v>
      </c>
      <c r="P831" s="54" t="s">
        <v>181</v>
      </c>
      <c r="Q831" s="54"/>
      <c r="R831" s="54" t="s">
        <v>725</v>
      </c>
      <c r="S831" s="54" t="s">
        <v>1644</v>
      </c>
      <c r="T831" s="54" t="s">
        <v>1644</v>
      </c>
      <c r="U831" s="35">
        <v>1.05</v>
      </c>
      <c r="V831" s="35">
        <v>7.3</v>
      </c>
      <c r="W831" s="35">
        <v>70.2</v>
      </c>
      <c r="X831" s="35" t="s">
        <v>168</v>
      </c>
      <c r="Y831" s="35">
        <v>5.48</v>
      </c>
      <c r="Z831" s="35">
        <v>1.1599999999999999</v>
      </c>
      <c r="AB831" s="35" t="s">
        <v>1574</v>
      </c>
      <c r="AC831" s="35" t="s">
        <v>166</v>
      </c>
      <c r="AD831" s="153" t="str">
        <f t="shared" si="221"/>
        <v>Rye</v>
      </c>
      <c r="AE831" s="35" t="s">
        <v>167</v>
      </c>
      <c r="AP831" s="35" t="s">
        <v>154</v>
      </c>
      <c r="AQ831" s="35">
        <v>2</v>
      </c>
      <c r="AR831" s="35">
        <v>2</v>
      </c>
      <c r="AS831" s="35" t="s">
        <v>177</v>
      </c>
      <c r="AW831" s="63"/>
      <c r="DA831" s="35">
        <v>25.21</v>
      </c>
      <c r="DB831" s="35">
        <v>12.69</v>
      </c>
      <c r="DC831" s="35" t="s">
        <v>721</v>
      </c>
      <c r="FA831" s="35" t="s">
        <v>872</v>
      </c>
      <c r="FC831" s="35">
        <v>41</v>
      </c>
    </row>
    <row r="832" spans="1:159" s="26" customFormat="1" x14ac:dyDescent="0.25">
      <c r="A832" s="26">
        <v>41</v>
      </c>
      <c r="B832" s="26" t="s">
        <v>717</v>
      </c>
      <c r="C832" s="26" t="s">
        <v>718</v>
      </c>
      <c r="D832" s="26">
        <v>1994</v>
      </c>
      <c r="E832" s="26">
        <v>1988</v>
      </c>
      <c r="F832" s="26" t="s">
        <v>524</v>
      </c>
      <c r="G832" s="26" t="s">
        <v>720</v>
      </c>
      <c r="H832" s="26">
        <v>38.03</v>
      </c>
      <c r="I832" s="26">
        <v>-84.51</v>
      </c>
      <c r="J832" s="26">
        <v>299.60000000000002</v>
      </c>
      <c r="P832" s="52" t="s">
        <v>182</v>
      </c>
      <c r="Q832" s="52"/>
      <c r="R832" s="52" t="s">
        <v>728</v>
      </c>
      <c r="S832" s="52" t="s">
        <v>1644</v>
      </c>
      <c r="T832" s="52" t="s">
        <v>1644</v>
      </c>
      <c r="U832" s="26">
        <v>1.05</v>
      </c>
      <c r="V832" s="26">
        <v>7.3</v>
      </c>
      <c r="W832" s="26">
        <v>70.2</v>
      </c>
      <c r="X832" s="26" t="s">
        <v>168</v>
      </c>
      <c r="Y832" s="26">
        <v>5.48</v>
      </c>
      <c r="Z832" s="26">
        <v>1.1599999999999999</v>
      </c>
      <c r="AB832" s="26" t="s">
        <v>1574</v>
      </c>
      <c r="AC832" s="26" t="s">
        <v>166</v>
      </c>
      <c r="AD832" s="153" t="str">
        <f t="shared" si="221"/>
        <v>Rye</v>
      </c>
      <c r="AE832" s="26" t="s">
        <v>167</v>
      </c>
      <c r="AP832" s="26" t="s">
        <v>154</v>
      </c>
      <c r="AQ832" s="26">
        <v>2</v>
      </c>
      <c r="AR832" s="26">
        <v>2</v>
      </c>
      <c r="AS832" s="26" t="s">
        <v>177</v>
      </c>
      <c r="AW832" s="63"/>
      <c r="DA832" s="26">
        <v>95.55</v>
      </c>
      <c r="DB832" s="26">
        <v>92.09</v>
      </c>
      <c r="DC832" s="26" t="s">
        <v>721</v>
      </c>
      <c r="FA832" s="26" t="s">
        <v>872</v>
      </c>
      <c r="FC832" s="26">
        <v>41</v>
      </c>
    </row>
    <row r="833" spans="1:159" s="26" customFormat="1" x14ac:dyDescent="0.25">
      <c r="A833" s="26">
        <v>41</v>
      </c>
      <c r="B833" s="26" t="s">
        <v>717</v>
      </c>
      <c r="C833" s="26" t="s">
        <v>718</v>
      </c>
      <c r="D833" s="26">
        <v>1994</v>
      </c>
      <c r="E833" s="26">
        <v>1988</v>
      </c>
      <c r="F833" s="26" t="s">
        <v>524</v>
      </c>
      <c r="G833" s="26" t="s">
        <v>720</v>
      </c>
      <c r="H833" s="26">
        <v>38.03</v>
      </c>
      <c r="I833" s="26">
        <v>-84.51</v>
      </c>
      <c r="J833" s="26">
        <v>299.60000000000002</v>
      </c>
      <c r="P833" s="52" t="s">
        <v>182</v>
      </c>
      <c r="Q833" s="52"/>
      <c r="R833" s="52" t="s">
        <v>729</v>
      </c>
      <c r="S833" s="52" t="s">
        <v>1644</v>
      </c>
      <c r="T833" s="52" t="s">
        <v>1644</v>
      </c>
      <c r="U833" s="26">
        <v>1.05</v>
      </c>
      <c r="V833" s="26">
        <v>7.3</v>
      </c>
      <c r="W833" s="26">
        <v>70.2</v>
      </c>
      <c r="X833" s="26" t="s">
        <v>168</v>
      </c>
      <c r="Y833" s="26">
        <v>5.48</v>
      </c>
      <c r="Z833" s="26">
        <v>1.1599999999999999</v>
      </c>
      <c r="AB833" s="26" t="s">
        <v>1574</v>
      </c>
      <c r="AC833" s="26" t="s">
        <v>166</v>
      </c>
      <c r="AD833" s="153" t="str">
        <f t="shared" si="221"/>
        <v>Rye</v>
      </c>
      <c r="AE833" s="26" t="s">
        <v>167</v>
      </c>
      <c r="AP833" s="26" t="s">
        <v>154</v>
      </c>
      <c r="AQ833" s="26">
        <v>2</v>
      </c>
      <c r="AR833" s="26">
        <v>2</v>
      </c>
      <c r="AS833" s="26" t="s">
        <v>177</v>
      </c>
      <c r="AW833" s="63"/>
      <c r="DA833" s="26">
        <v>81.97</v>
      </c>
      <c r="DB833" s="26">
        <v>79.599999999999994</v>
      </c>
      <c r="DC833" s="26" t="s">
        <v>721</v>
      </c>
      <c r="FA833" s="26" t="s">
        <v>872</v>
      </c>
      <c r="FC833" s="26">
        <v>41</v>
      </c>
    </row>
    <row r="834" spans="1:159" s="26" customFormat="1" x14ac:dyDescent="0.25">
      <c r="A834" s="26">
        <v>41</v>
      </c>
      <c r="B834" s="26" t="s">
        <v>717</v>
      </c>
      <c r="C834" s="26" t="s">
        <v>718</v>
      </c>
      <c r="D834" s="26">
        <v>1994</v>
      </c>
      <c r="E834" s="26">
        <v>1988</v>
      </c>
      <c r="F834" s="26" t="s">
        <v>524</v>
      </c>
      <c r="G834" s="26" t="s">
        <v>720</v>
      </c>
      <c r="H834" s="26">
        <v>38.03</v>
      </c>
      <c r="I834" s="26">
        <v>-84.51</v>
      </c>
      <c r="J834" s="26">
        <v>299.60000000000002</v>
      </c>
      <c r="P834" s="52" t="s">
        <v>182</v>
      </c>
      <c r="Q834" s="52"/>
      <c r="R834" s="52" t="s">
        <v>269</v>
      </c>
      <c r="S834" s="52" t="s">
        <v>1644</v>
      </c>
      <c r="T834" s="52" t="s">
        <v>1644</v>
      </c>
      <c r="U834" s="26">
        <v>1.05</v>
      </c>
      <c r="V834" s="26">
        <v>7.3</v>
      </c>
      <c r="W834" s="26">
        <v>70.2</v>
      </c>
      <c r="X834" s="26" t="s">
        <v>168</v>
      </c>
      <c r="Y834" s="26">
        <v>5.48</v>
      </c>
      <c r="Z834" s="26">
        <v>1.1599999999999999</v>
      </c>
      <c r="AB834" s="26" t="s">
        <v>1574</v>
      </c>
      <c r="AC834" s="26" t="s">
        <v>166</v>
      </c>
      <c r="AD834" s="153" t="str">
        <f t="shared" si="221"/>
        <v>Rye</v>
      </c>
      <c r="AE834" s="26" t="s">
        <v>167</v>
      </c>
      <c r="AP834" s="26" t="s">
        <v>154</v>
      </c>
      <c r="AQ834" s="26">
        <v>2</v>
      </c>
      <c r="AR834" s="26">
        <v>2</v>
      </c>
      <c r="AS834" s="26" t="s">
        <v>177</v>
      </c>
      <c r="AW834" s="63"/>
      <c r="DA834" s="26">
        <v>100</v>
      </c>
      <c r="DB834" s="26">
        <v>95.79</v>
      </c>
      <c r="DC834" s="26" t="s">
        <v>721</v>
      </c>
      <c r="FA834" s="26" t="s">
        <v>872</v>
      </c>
      <c r="FC834" s="26">
        <v>41</v>
      </c>
    </row>
    <row r="835" spans="1:159" s="26" customFormat="1" x14ac:dyDescent="0.25">
      <c r="A835" s="26">
        <v>41</v>
      </c>
      <c r="B835" s="26" t="s">
        <v>717</v>
      </c>
      <c r="C835" s="26" t="s">
        <v>718</v>
      </c>
      <c r="D835" s="26">
        <v>1994</v>
      </c>
      <c r="E835" s="26">
        <v>1988</v>
      </c>
      <c r="F835" s="26" t="s">
        <v>524</v>
      </c>
      <c r="G835" s="26" t="s">
        <v>720</v>
      </c>
      <c r="H835" s="26">
        <v>38.03</v>
      </c>
      <c r="I835" s="26">
        <v>-84.51</v>
      </c>
      <c r="J835" s="26">
        <v>299.60000000000002</v>
      </c>
      <c r="P835" s="52" t="s">
        <v>182</v>
      </c>
      <c r="Q835" s="52"/>
      <c r="R835" s="52" t="s">
        <v>726</v>
      </c>
      <c r="S835" s="52" t="s">
        <v>1644</v>
      </c>
      <c r="T835" s="52" t="s">
        <v>1644</v>
      </c>
      <c r="U835" s="26">
        <v>1.05</v>
      </c>
      <c r="V835" s="26">
        <v>7.3</v>
      </c>
      <c r="W835" s="26">
        <v>70.2</v>
      </c>
      <c r="X835" s="26" t="s">
        <v>168</v>
      </c>
      <c r="Y835" s="26">
        <v>5.48</v>
      </c>
      <c r="Z835" s="26">
        <v>1.1599999999999999</v>
      </c>
      <c r="AB835" s="26" t="s">
        <v>1574</v>
      </c>
      <c r="AC835" s="26" t="s">
        <v>166</v>
      </c>
      <c r="AD835" s="153" t="str">
        <f t="shared" ref="AD835:AD898" si="226">IF(OR(AC835="*Rye",AC835="Rye*",AC835="Downy_brome"),"Rye",IF(OR(AC835="*Oat",AC835="Oat*",AC835="Trudan_8",AC835="*Wheat",AC835="Wheat*",AC835="Barley*",AC835="Hemp",AC835="Hemp",AC835="Triticale*",AC835="Grass",AC835="Millet"),"Grass",IF(OR(AC835="*clover",AC835="clover*",AC835="Vetch*",AC835="Vetch*",AC835="Alfalfa",AC835="Soybean",AC835="*Lentil",AC835="Lentil*",AC835="*Pea",AC835="Pea*",AC835="Lupine"),"Legume",AC835)))</f>
        <v>Rye</v>
      </c>
      <c r="AE835" s="26" t="s">
        <v>167</v>
      </c>
      <c r="AP835" s="26" t="s">
        <v>154</v>
      </c>
      <c r="AQ835" s="26">
        <v>2</v>
      </c>
      <c r="AR835" s="26">
        <v>2</v>
      </c>
      <c r="AS835" s="26" t="s">
        <v>177</v>
      </c>
      <c r="AW835" s="63"/>
      <c r="DA835" s="26">
        <v>85.89</v>
      </c>
      <c r="DB835" s="26">
        <v>83.51</v>
      </c>
      <c r="DC835" s="26" t="s">
        <v>721</v>
      </c>
      <c r="FA835" s="26" t="s">
        <v>872</v>
      </c>
      <c r="FC835" s="26">
        <v>41</v>
      </c>
    </row>
    <row r="836" spans="1:159" s="26" customFormat="1" x14ac:dyDescent="0.25">
      <c r="A836" s="26">
        <v>41</v>
      </c>
      <c r="B836" s="26" t="s">
        <v>717</v>
      </c>
      <c r="C836" s="26" t="s">
        <v>718</v>
      </c>
      <c r="D836" s="26">
        <v>1994</v>
      </c>
      <c r="E836" s="26">
        <v>1988</v>
      </c>
      <c r="F836" s="26" t="s">
        <v>524</v>
      </c>
      <c r="G836" s="26" t="s">
        <v>720</v>
      </c>
      <c r="H836" s="26">
        <v>38.03</v>
      </c>
      <c r="I836" s="26">
        <v>-84.51</v>
      </c>
      <c r="J836" s="26">
        <v>299.60000000000002</v>
      </c>
      <c r="P836" s="52" t="s">
        <v>182</v>
      </c>
      <c r="Q836" s="52"/>
      <c r="R836" s="52" t="s">
        <v>726</v>
      </c>
      <c r="S836" s="52" t="s">
        <v>1644</v>
      </c>
      <c r="T836" s="52" t="s">
        <v>1644</v>
      </c>
      <c r="U836" s="26">
        <v>1.05</v>
      </c>
      <c r="V836" s="26">
        <v>7.3</v>
      </c>
      <c r="W836" s="26">
        <v>70.2</v>
      </c>
      <c r="X836" s="26" t="s">
        <v>168</v>
      </c>
      <c r="Y836" s="26">
        <v>5.48</v>
      </c>
      <c r="Z836" s="26">
        <v>1.1599999999999999</v>
      </c>
      <c r="AB836" s="26" t="s">
        <v>1574</v>
      </c>
      <c r="AC836" s="26" t="s">
        <v>166</v>
      </c>
      <c r="AD836" s="153" t="str">
        <f t="shared" si="226"/>
        <v>Rye</v>
      </c>
      <c r="AE836" s="26" t="s">
        <v>167</v>
      </c>
      <c r="AP836" s="26" t="s">
        <v>154</v>
      </c>
      <c r="AQ836" s="26">
        <v>2</v>
      </c>
      <c r="AR836" s="26">
        <v>2</v>
      </c>
      <c r="AS836" s="26" t="s">
        <v>177</v>
      </c>
      <c r="AW836" s="63"/>
      <c r="DA836" s="26">
        <v>52.89</v>
      </c>
      <c r="DB836" s="26">
        <v>31.31</v>
      </c>
      <c r="DC836" s="26" t="s">
        <v>721</v>
      </c>
      <c r="FA836" s="26" t="s">
        <v>872</v>
      </c>
      <c r="FC836" s="26">
        <v>41</v>
      </c>
    </row>
    <row r="837" spans="1:159" s="26" customFormat="1" x14ac:dyDescent="0.25">
      <c r="A837" s="26">
        <v>41</v>
      </c>
      <c r="B837" s="26" t="s">
        <v>717</v>
      </c>
      <c r="C837" s="26" t="s">
        <v>718</v>
      </c>
      <c r="D837" s="26">
        <v>1994</v>
      </c>
      <c r="E837" s="26">
        <v>1988</v>
      </c>
      <c r="F837" s="26" t="s">
        <v>524</v>
      </c>
      <c r="G837" s="26" t="s">
        <v>720</v>
      </c>
      <c r="H837" s="26">
        <v>38.03</v>
      </c>
      <c r="I837" s="26">
        <v>-84.51</v>
      </c>
      <c r="J837" s="26">
        <v>299.60000000000002</v>
      </c>
      <c r="P837" s="52" t="s">
        <v>182</v>
      </c>
      <c r="Q837" s="52"/>
      <c r="R837" s="52" t="s">
        <v>257</v>
      </c>
      <c r="S837" s="52" t="s">
        <v>1644</v>
      </c>
      <c r="T837" s="52" t="s">
        <v>1644</v>
      </c>
      <c r="U837" s="26">
        <v>1.05</v>
      </c>
      <c r="V837" s="26">
        <v>7.3</v>
      </c>
      <c r="W837" s="26">
        <v>70.2</v>
      </c>
      <c r="X837" s="26" t="s">
        <v>168</v>
      </c>
      <c r="Y837" s="26">
        <v>5.48</v>
      </c>
      <c r="Z837" s="26">
        <v>1.1599999999999999</v>
      </c>
      <c r="AB837" s="26" t="s">
        <v>1574</v>
      </c>
      <c r="AC837" s="26" t="s">
        <v>166</v>
      </c>
      <c r="AD837" s="153" t="str">
        <f t="shared" si="226"/>
        <v>Rye</v>
      </c>
      <c r="AE837" s="26" t="s">
        <v>167</v>
      </c>
      <c r="AP837" s="26" t="s">
        <v>154</v>
      </c>
      <c r="AQ837" s="26">
        <v>2</v>
      </c>
      <c r="AR837" s="26">
        <v>2</v>
      </c>
      <c r="AS837" s="26" t="s">
        <v>177</v>
      </c>
      <c r="AW837" s="63"/>
      <c r="DA837" s="26">
        <v>82.67</v>
      </c>
      <c r="DB837" s="26">
        <v>75.98</v>
      </c>
      <c r="DC837" s="26" t="s">
        <v>721</v>
      </c>
      <c r="FA837" s="26" t="s">
        <v>872</v>
      </c>
      <c r="FC837" s="26">
        <v>41</v>
      </c>
    </row>
    <row r="838" spans="1:159" s="26" customFormat="1" x14ac:dyDescent="0.25">
      <c r="A838" s="26">
        <v>41</v>
      </c>
      <c r="B838" s="26" t="s">
        <v>717</v>
      </c>
      <c r="C838" s="26" t="s">
        <v>718</v>
      </c>
      <c r="D838" s="26">
        <v>1994</v>
      </c>
      <c r="E838" s="26">
        <v>1988</v>
      </c>
      <c r="F838" s="26" t="s">
        <v>524</v>
      </c>
      <c r="G838" s="26" t="s">
        <v>720</v>
      </c>
      <c r="H838" s="26">
        <v>38.03</v>
      </c>
      <c r="I838" s="26">
        <v>-84.51</v>
      </c>
      <c r="J838" s="26">
        <v>299.60000000000002</v>
      </c>
      <c r="P838" s="52" t="s">
        <v>182</v>
      </c>
      <c r="Q838" s="52"/>
      <c r="R838" s="52" t="s">
        <v>257</v>
      </c>
      <c r="S838" s="52" t="s">
        <v>1644</v>
      </c>
      <c r="T838" s="52" t="s">
        <v>1644</v>
      </c>
      <c r="U838" s="26">
        <v>1.05</v>
      </c>
      <c r="V838" s="26">
        <v>7.3</v>
      </c>
      <c r="W838" s="26">
        <v>70.2</v>
      </c>
      <c r="X838" s="26" t="s">
        <v>168</v>
      </c>
      <c r="Y838" s="26">
        <v>5.48</v>
      </c>
      <c r="Z838" s="26">
        <v>1.1599999999999999</v>
      </c>
      <c r="AB838" s="26" t="s">
        <v>1574</v>
      </c>
      <c r="AC838" s="26" t="s">
        <v>166</v>
      </c>
      <c r="AD838" s="153" t="str">
        <f t="shared" si="226"/>
        <v>Rye</v>
      </c>
      <c r="AE838" s="26" t="s">
        <v>167</v>
      </c>
      <c r="AP838" s="26" t="s">
        <v>154</v>
      </c>
      <c r="AQ838" s="26">
        <v>2</v>
      </c>
      <c r="AR838" s="26">
        <v>2</v>
      </c>
      <c r="AS838" s="26" t="s">
        <v>177</v>
      </c>
      <c r="AW838" s="63"/>
      <c r="DA838" s="26">
        <v>66.94</v>
      </c>
      <c r="DB838" s="26">
        <v>24.65</v>
      </c>
      <c r="DC838" s="26" t="s">
        <v>721</v>
      </c>
      <c r="FA838" s="26" t="s">
        <v>872</v>
      </c>
      <c r="FC838" s="26">
        <v>41</v>
      </c>
    </row>
    <row r="839" spans="1:159" s="26" customFormat="1" x14ac:dyDescent="0.25">
      <c r="A839" s="26">
        <v>41</v>
      </c>
      <c r="B839" s="26" t="s">
        <v>717</v>
      </c>
      <c r="C839" s="26" t="s">
        <v>718</v>
      </c>
      <c r="D839" s="26">
        <v>1994</v>
      </c>
      <c r="E839" s="26">
        <v>1988</v>
      </c>
      <c r="F839" s="26" t="s">
        <v>524</v>
      </c>
      <c r="G839" s="26" t="s">
        <v>720</v>
      </c>
      <c r="H839" s="26">
        <v>38.03</v>
      </c>
      <c r="I839" s="26">
        <v>-84.51</v>
      </c>
      <c r="J839" s="26">
        <v>299.60000000000002</v>
      </c>
      <c r="P839" s="52" t="s">
        <v>182</v>
      </c>
      <c r="Q839" s="52"/>
      <c r="R839" s="52" t="s">
        <v>722</v>
      </c>
      <c r="S839" s="52" t="s">
        <v>1644</v>
      </c>
      <c r="T839" s="52" t="s">
        <v>1644</v>
      </c>
      <c r="U839" s="26">
        <v>1.05</v>
      </c>
      <c r="V839" s="26">
        <v>7.3</v>
      </c>
      <c r="W839" s="26">
        <v>70.2</v>
      </c>
      <c r="X839" s="26" t="s">
        <v>168</v>
      </c>
      <c r="Y839" s="26">
        <v>5.48</v>
      </c>
      <c r="Z839" s="26">
        <v>1.1599999999999999</v>
      </c>
      <c r="AB839" s="26" t="s">
        <v>1574</v>
      </c>
      <c r="AC839" s="26" t="s">
        <v>166</v>
      </c>
      <c r="AD839" s="153" t="str">
        <f t="shared" si="226"/>
        <v>Rye</v>
      </c>
      <c r="AE839" s="26" t="s">
        <v>167</v>
      </c>
      <c r="AP839" s="26" t="s">
        <v>154</v>
      </c>
      <c r="AQ839" s="26">
        <v>2</v>
      </c>
      <c r="AR839" s="26">
        <v>2</v>
      </c>
      <c r="AS839" s="26" t="s">
        <v>177</v>
      </c>
      <c r="AW839" s="63"/>
      <c r="DA839" s="26">
        <v>28.97</v>
      </c>
      <c r="DB839" s="26">
        <v>16.03</v>
      </c>
      <c r="DC839" s="26" t="s">
        <v>721</v>
      </c>
      <c r="FA839" s="26" t="s">
        <v>872</v>
      </c>
      <c r="FC839" s="26">
        <v>41</v>
      </c>
    </row>
    <row r="840" spans="1:159" s="26" customFormat="1" x14ac:dyDescent="0.25">
      <c r="A840" s="26">
        <v>41</v>
      </c>
      <c r="B840" s="26" t="s">
        <v>717</v>
      </c>
      <c r="C840" s="26" t="s">
        <v>718</v>
      </c>
      <c r="D840" s="26">
        <v>1994</v>
      </c>
      <c r="E840" s="26">
        <v>1988</v>
      </c>
      <c r="F840" s="26" t="s">
        <v>524</v>
      </c>
      <c r="G840" s="26" t="s">
        <v>720</v>
      </c>
      <c r="H840" s="26">
        <v>38.03</v>
      </c>
      <c r="I840" s="26">
        <v>-84.51</v>
      </c>
      <c r="J840" s="26">
        <v>299.60000000000002</v>
      </c>
      <c r="P840" s="52" t="s">
        <v>182</v>
      </c>
      <c r="Q840" s="52"/>
      <c r="R840" s="52" t="s">
        <v>284</v>
      </c>
      <c r="S840" s="52" t="s">
        <v>1644</v>
      </c>
      <c r="T840" s="52" t="s">
        <v>1644</v>
      </c>
      <c r="U840" s="26">
        <v>1.05</v>
      </c>
      <c r="V840" s="26">
        <v>7.3</v>
      </c>
      <c r="W840" s="26">
        <v>70.2</v>
      </c>
      <c r="X840" s="26" t="s">
        <v>168</v>
      </c>
      <c r="Y840" s="26">
        <v>5.48</v>
      </c>
      <c r="Z840" s="26">
        <v>1.1599999999999999</v>
      </c>
      <c r="AB840" s="26" t="s">
        <v>1574</v>
      </c>
      <c r="AC840" s="26" t="s">
        <v>166</v>
      </c>
      <c r="AD840" s="153" t="str">
        <f t="shared" si="226"/>
        <v>Rye</v>
      </c>
      <c r="AE840" s="26" t="s">
        <v>167</v>
      </c>
      <c r="AP840" s="26" t="s">
        <v>154</v>
      </c>
      <c r="AQ840" s="26">
        <v>2</v>
      </c>
      <c r="AR840" s="26">
        <v>2</v>
      </c>
      <c r="AS840" s="26" t="s">
        <v>177</v>
      </c>
      <c r="AW840" s="63"/>
      <c r="DA840" s="26">
        <v>43.01</v>
      </c>
      <c r="DB840" s="26">
        <v>58.39</v>
      </c>
      <c r="DC840" s="26" t="s">
        <v>721</v>
      </c>
      <c r="FA840" s="26" t="s">
        <v>872</v>
      </c>
      <c r="FC840" s="26">
        <v>41</v>
      </c>
    </row>
    <row r="841" spans="1:159" s="26" customFormat="1" x14ac:dyDescent="0.25">
      <c r="A841" s="26">
        <v>41</v>
      </c>
      <c r="B841" s="26" t="s">
        <v>717</v>
      </c>
      <c r="C841" s="26" t="s">
        <v>718</v>
      </c>
      <c r="D841" s="26">
        <v>1994</v>
      </c>
      <c r="E841" s="26">
        <v>1988</v>
      </c>
      <c r="F841" s="26" t="s">
        <v>524</v>
      </c>
      <c r="G841" s="26" t="s">
        <v>720</v>
      </c>
      <c r="H841" s="26">
        <v>38.03</v>
      </c>
      <c r="I841" s="26">
        <v>-84.51</v>
      </c>
      <c r="J841" s="26">
        <v>299.60000000000002</v>
      </c>
      <c r="P841" s="52" t="s">
        <v>182</v>
      </c>
      <c r="Q841" s="52"/>
      <c r="R841" s="52" t="s">
        <v>723</v>
      </c>
      <c r="S841" s="52" t="s">
        <v>1644</v>
      </c>
      <c r="T841" s="52" t="s">
        <v>1644</v>
      </c>
      <c r="U841" s="26">
        <v>1.05</v>
      </c>
      <c r="V841" s="26">
        <v>7.3</v>
      </c>
      <c r="W841" s="26">
        <v>70.2</v>
      </c>
      <c r="X841" s="26" t="s">
        <v>168</v>
      </c>
      <c r="Y841" s="26">
        <v>5.48</v>
      </c>
      <c r="Z841" s="26">
        <v>1.1599999999999999</v>
      </c>
      <c r="AB841" s="26" t="s">
        <v>1574</v>
      </c>
      <c r="AC841" s="26" t="s">
        <v>166</v>
      </c>
      <c r="AD841" s="153" t="str">
        <f t="shared" si="226"/>
        <v>Rye</v>
      </c>
      <c r="AE841" s="26" t="s">
        <v>167</v>
      </c>
      <c r="AP841" s="26" t="s">
        <v>154</v>
      </c>
      <c r="AQ841" s="26">
        <v>2</v>
      </c>
      <c r="AR841" s="26">
        <v>2</v>
      </c>
      <c r="AS841" s="26" t="s">
        <v>177</v>
      </c>
      <c r="AW841" s="63"/>
      <c r="DA841" s="26">
        <v>1.59</v>
      </c>
      <c r="DB841" s="26">
        <v>15.62</v>
      </c>
      <c r="DC841" s="26" t="s">
        <v>721</v>
      </c>
      <c r="FA841" s="26" t="s">
        <v>872</v>
      </c>
      <c r="FC841" s="26">
        <v>41</v>
      </c>
    </row>
    <row r="842" spans="1:159" s="26" customFormat="1" x14ac:dyDescent="0.25">
      <c r="A842" s="26">
        <v>41</v>
      </c>
      <c r="B842" s="26" t="s">
        <v>717</v>
      </c>
      <c r="C842" s="26" t="s">
        <v>718</v>
      </c>
      <c r="D842" s="26">
        <v>1994</v>
      </c>
      <c r="E842" s="26">
        <v>1988</v>
      </c>
      <c r="F842" s="26" t="s">
        <v>524</v>
      </c>
      <c r="G842" s="26" t="s">
        <v>720</v>
      </c>
      <c r="H842" s="26">
        <v>38.03</v>
      </c>
      <c r="I842" s="26">
        <v>-84.51</v>
      </c>
      <c r="J842" s="26">
        <v>299.60000000000002</v>
      </c>
      <c r="P842" s="52" t="s">
        <v>182</v>
      </c>
      <c r="Q842" s="52"/>
      <c r="R842" s="52" t="s">
        <v>724</v>
      </c>
      <c r="S842" s="52" t="s">
        <v>1644</v>
      </c>
      <c r="T842" s="52" t="s">
        <v>1644</v>
      </c>
      <c r="U842" s="26">
        <v>1.05</v>
      </c>
      <c r="V842" s="26">
        <v>7.3</v>
      </c>
      <c r="W842" s="26">
        <v>70.2</v>
      </c>
      <c r="X842" s="26" t="s">
        <v>168</v>
      </c>
      <c r="Y842" s="26">
        <v>5.48</v>
      </c>
      <c r="Z842" s="26">
        <v>1.1599999999999999</v>
      </c>
      <c r="AB842" s="26" t="s">
        <v>1574</v>
      </c>
      <c r="AC842" s="26" t="s">
        <v>166</v>
      </c>
      <c r="AD842" s="153" t="str">
        <f t="shared" si="226"/>
        <v>Rye</v>
      </c>
      <c r="AE842" s="26" t="s">
        <v>167</v>
      </c>
      <c r="AP842" s="26" t="s">
        <v>154</v>
      </c>
      <c r="AQ842" s="26">
        <v>2</v>
      </c>
      <c r="AR842" s="26">
        <v>2</v>
      </c>
      <c r="AS842" s="26" t="s">
        <v>177</v>
      </c>
      <c r="AW842" s="63"/>
      <c r="DA842" s="26">
        <v>4.8499999999999996</v>
      </c>
      <c r="DB842" s="26">
        <v>10.67</v>
      </c>
      <c r="DC842" s="26" t="s">
        <v>721</v>
      </c>
      <c r="FA842" s="26" t="s">
        <v>872</v>
      </c>
      <c r="FC842" s="26">
        <v>41</v>
      </c>
    </row>
    <row r="843" spans="1:159" s="26" customFormat="1" x14ac:dyDescent="0.25">
      <c r="A843" s="26">
        <v>41</v>
      </c>
      <c r="B843" s="26" t="s">
        <v>717</v>
      </c>
      <c r="C843" s="26" t="s">
        <v>718</v>
      </c>
      <c r="D843" s="26">
        <v>1994</v>
      </c>
      <c r="E843" s="26">
        <v>1988</v>
      </c>
      <c r="F843" s="26" t="s">
        <v>524</v>
      </c>
      <c r="G843" s="26" t="s">
        <v>720</v>
      </c>
      <c r="H843" s="26">
        <v>38.03</v>
      </c>
      <c r="I843" s="26">
        <v>-84.51</v>
      </c>
      <c r="J843" s="26">
        <v>299.60000000000002</v>
      </c>
      <c r="P843" s="52" t="s">
        <v>182</v>
      </c>
      <c r="Q843" s="52"/>
      <c r="R843" s="52" t="s">
        <v>637</v>
      </c>
      <c r="S843" s="52" t="s">
        <v>1644</v>
      </c>
      <c r="T843" s="52" t="s">
        <v>1644</v>
      </c>
      <c r="U843" s="26">
        <v>1.05</v>
      </c>
      <c r="V843" s="26">
        <v>7.3</v>
      </c>
      <c r="W843" s="26">
        <v>70.2</v>
      </c>
      <c r="X843" s="26" t="s">
        <v>168</v>
      </c>
      <c r="Y843" s="26">
        <v>5.48</v>
      </c>
      <c r="Z843" s="26">
        <v>1.1599999999999999</v>
      </c>
      <c r="AB843" s="26" t="s">
        <v>1574</v>
      </c>
      <c r="AC843" s="26" t="s">
        <v>166</v>
      </c>
      <c r="AD843" s="153" t="str">
        <f t="shared" si="226"/>
        <v>Rye</v>
      </c>
      <c r="AE843" s="26" t="s">
        <v>167</v>
      </c>
      <c r="AP843" s="26" t="s">
        <v>154</v>
      </c>
      <c r="AQ843" s="26">
        <v>2</v>
      </c>
      <c r="AR843" s="26">
        <v>2</v>
      </c>
      <c r="AS843" s="26" t="s">
        <v>177</v>
      </c>
      <c r="AW843" s="63"/>
      <c r="DA843" s="26">
        <v>0.13</v>
      </c>
      <c r="DB843" s="26">
        <v>4.4400000000000004</v>
      </c>
      <c r="DC843" s="26" t="s">
        <v>721</v>
      </c>
      <c r="FA843" s="26" t="s">
        <v>872</v>
      </c>
      <c r="FC843" s="26">
        <v>41</v>
      </c>
    </row>
    <row r="844" spans="1:159" s="26" customFormat="1" x14ac:dyDescent="0.25">
      <c r="A844" s="26">
        <v>41</v>
      </c>
      <c r="B844" s="26" t="s">
        <v>717</v>
      </c>
      <c r="C844" s="26" t="s">
        <v>718</v>
      </c>
      <c r="D844" s="26">
        <v>1994</v>
      </c>
      <c r="E844" s="26">
        <v>1988</v>
      </c>
      <c r="F844" s="26" t="s">
        <v>524</v>
      </c>
      <c r="G844" s="26" t="s">
        <v>720</v>
      </c>
      <c r="H844" s="26">
        <v>38.03</v>
      </c>
      <c r="I844" s="26">
        <v>-84.51</v>
      </c>
      <c r="J844" s="26">
        <v>299.60000000000002</v>
      </c>
      <c r="P844" s="52" t="s">
        <v>182</v>
      </c>
      <c r="Q844" s="52"/>
      <c r="R844" s="52" t="s">
        <v>637</v>
      </c>
      <c r="S844" s="52" t="s">
        <v>1644</v>
      </c>
      <c r="T844" s="52" t="s">
        <v>1644</v>
      </c>
      <c r="U844" s="26">
        <v>1.05</v>
      </c>
      <c r="V844" s="26">
        <v>7.3</v>
      </c>
      <c r="W844" s="26">
        <v>70.2</v>
      </c>
      <c r="X844" s="26" t="s">
        <v>168</v>
      </c>
      <c r="Y844" s="26">
        <v>5.48</v>
      </c>
      <c r="Z844" s="26">
        <v>1.1599999999999999</v>
      </c>
      <c r="AB844" s="26" t="s">
        <v>1574</v>
      </c>
      <c r="AC844" s="26" t="s">
        <v>166</v>
      </c>
      <c r="AD844" s="153" t="str">
        <f t="shared" si="226"/>
        <v>Rye</v>
      </c>
      <c r="AE844" s="26" t="s">
        <v>167</v>
      </c>
      <c r="AP844" s="26" t="s">
        <v>154</v>
      </c>
      <c r="AQ844" s="26">
        <v>2</v>
      </c>
      <c r="AR844" s="26">
        <v>2</v>
      </c>
      <c r="AS844" s="26" t="s">
        <v>177</v>
      </c>
      <c r="AW844" s="63"/>
      <c r="DA844" s="26">
        <v>72.64</v>
      </c>
      <c r="DB844" s="26">
        <v>95.51</v>
      </c>
      <c r="DC844" s="26" t="s">
        <v>721</v>
      </c>
      <c r="FA844" s="26" t="s">
        <v>872</v>
      </c>
      <c r="FC844" s="26">
        <v>41</v>
      </c>
    </row>
    <row r="845" spans="1:159" s="26" customFormat="1" x14ac:dyDescent="0.25">
      <c r="A845" s="26">
        <v>41</v>
      </c>
      <c r="B845" s="26" t="s">
        <v>717</v>
      </c>
      <c r="C845" s="26" t="s">
        <v>718</v>
      </c>
      <c r="D845" s="26">
        <v>1994</v>
      </c>
      <c r="E845" s="26">
        <v>1988</v>
      </c>
      <c r="F845" s="26" t="s">
        <v>524</v>
      </c>
      <c r="G845" s="26" t="s">
        <v>720</v>
      </c>
      <c r="H845" s="26">
        <v>38.03</v>
      </c>
      <c r="I845" s="26">
        <v>-84.51</v>
      </c>
      <c r="J845" s="26">
        <v>299.60000000000002</v>
      </c>
      <c r="P845" s="52" t="s">
        <v>182</v>
      </c>
      <c r="Q845" s="52"/>
      <c r="R845" s="52" t="s">
        <v>725</v>
      </c>
      <c r="S845" s="52" t="s">
        <v>1644</v>
      </c>
      <c r="T845" s="52" t="s">
        <v>1644</v>
      </c>
      <c r="U845" s="26">
        <v>1.05</v>
      </c>
      <c r="V845" s="26">
        <v>7.3</v>
      </c>
      <c r="W845" s="26">
        <v>70.2</v>
      </c>
      <c r="X845" s="26" t="s">
        <v>168</v>
      </c>
      <c r="Y845" s="26">
        <v>5.48</v>
      </c>
      <c r="Z845" s="26">
        <v>1.1599999999999999</v>
      </c>
      <c r="AB845" s="26" t="s">
        <v>1574</v>
      </c>
      <c r="AC845" s="26" t="s">
        <v>166</v>
      </c>
      <c r="AD845" s="153" t="str">
        <f t="shared" si="226"/>
        <v>Rye</v>
      </c>
      <c r="AE845" s="26" t="s">
        <v>167</v>
      </c>
      <c r="AP845" s="26" t="s">
        <v>154</v>
      </c>
      <c r="AQ845" s="26">
        <v>2</v>
      </c>
      <c r="AR845" s="26">
        <v>2</v>
      </c>
      <c r="AS845" s="26" t="s">
        <v>177</v>
      </c>
      <c r="AW845" s="63"/>
      <c r="DA845" s="26">
        <v>28.22</v>
      </c>
      <c r="DB845" s="26">
        <v>32.53</v>
      </c>
      <c r="DC845" s="26" t="s">
        <v>721</v>
      </c>
      <c r="FA845" s="26" t="s">
        <v>872</v>
      </c>
      <c r="FC845" s="26">
        <v>41</v>
      </c>
    </row>
    <row r="846" spans="1:159" s="26" customFormat="1" x14ac:dyDescent="0.25">
      <c r="A846" s="26">
        <v>41</v>
      </c>
      <c r="B846" s="26" t="s">
        <v>717</v>
      </c>
      <c r="C846" s="26" t="s">
        <v>718</v>
      </c>
      <c r="D846" s="26">
        <v>1994</v>
      </c>
      <c r="E846" s="26">
        <v>1988</v>
      </c>
      <c r="F846" s="26" t="s">
        <v>524</v>
      </c>
      <c r="G846" s="26" t="s">
        <v>720</v>
      </c>
      <c r="H846" s="26">
        <v>38.03</v>
      </c>
      <c r="I846" s="26">
        <v>-84.51</v>
      </c>
      <c r="J846" s="26">
        <v>299.60000000000002</v>
      </c>
      <c r="P846" s="52" t="s">
        <v>182</v>
      </c>
      <c r="Q846" s="52"/>
      <c r="R846" s="52" t="s">
        <v>725</v>
      </c>
      <c r="S846" s="52" t="s">
        <v>1644</v>
      </c>
      <c r="T846" s="52" t="s">
        <v>1644</v>
      </c>
      <c r="U846" s="26">
        <v>1.05</v>
      </c>
      <c r="V846" s="26">
        <v>7.3</v>
      </c>
      <c r="W846" s="26">
        <v>70.2</v>
      </c>
      <c r="X846" s="26" t="s">
        <v>168</v>
      </c>
      <c r="Y846" s="26">
        <v>5.48</v>
      </c>
      <c r="Z846" s="26">
        <v>1.1599999999999999</v>
      </c>
      <c r="AB846" s="26" t="s">
        <v>1574</v>
      </c>
      <c r="AC846" s="26" t="s">
        <v>166</v>
      </c>
      <c r="AD846" s="153" t="str">
        <f t="shared" si="226"/>
        <v>Rye</v>
      </c>
      <c r="AE846" s="26" t="s">
        <v>167</v>
      </c>
      <c r="AP846" s="26" t="s">
        <v>154</v>
      </c>
      <c r="AQ846" s="26">
        <v>2</v>
      </c>
      <c r="AR846" s="26">
        <v>2</v>
      </c>
      <c r="AS846" s="26" t="s">
        <v>177</v>
      </c>
      <c r="AW846" s="63"/>
      <c r="DA846" s="26">
        <v>73.099999999999994</v>
      </c>
      <c r="DB846" s="26">
        <v>69.22</v>
      </c>
      <c r="DC846" s="26" t="s">
        <v>721</v>
      </c>
      <c r="FA846" s="26" t="s">
        <v>872</v>
      </c>
      <c r="FC846" s="26">
        <v>41</v>
      </c>
    </row>
    <row r="847" spans="1:159" s="26" customFormat="1" x14ac:dyDescent="0.25">
      <c r="A847" s="26">
        <v>41</v>
      </c>
      <c r="B847" s="26" t="s">
        <v>717</v>
      </c>
      <c r="C847" s="26" t="s">
        <v>718</v>
      </c>
      <c r="D847" s="26">
        <v>1994</v>
      </c>
      <c r="E847" s="26">
        <v>1988</v>
      </c>
      <c r="F847" s="26" t="s">
        <v>524</v>
      </c>
      <c r="G847" s="26" t="s">
        <v>720</v>
      </c>
      <c r="H847" s="26">
        <v>38.03</v>
      </c>
      <c r="I847" s="26">
        <v>-84.51</v>
      </c>
      <c r="J847" s="26">
        <v>299.60000000000002</v>
      </c>
      <c r="P847" s="52" t="s">
        <v>182</v>
      </c>
      <c r="Q847" s="52"/>
      <c r="R847" s="52" t="s">
        <v>725</v>
      </c>
      <c r="S847" s="52" t="s">
        <v>1644</v>
      </c>
      <c r="T847" s="52" t="s">
        <v>1644</v>
      </c>
      <c r="U847" s="26">
        <v>1.05</v>
      </c>
      <c r="V847" s="26">
        <v>7.3</v>
      </c>
      <c r="W847" s="26">
        <v>70.2</v>
      </c>
      <c r="X847" s="26" t="s">
        <v>168</v>
      </c>
      <c r="Y847" s="26">
        <v>5.48</v>
      </c>
      <c r="Z847" s="26">
        <v>1.1599999999999999</v>
      </c>
      <c r="AB847" s="26" t="s">
        <v>1574</v>
      </c>
      <c r="AC847" s="26" t="s">
        <v>166</v>
      </c>
      <c r="AD847" s="153" t="str">
        <f t="shared" si="226"/>
        <v>Rye</v>
      </c>
      <c r="AE847" s="26" t="s">
        <v>167</v>
      </c>
      <c r="AP847" s="26" t="s">
        <v>154</v>
      </c>
      <c r="AQ847" s="26">
        <v>2</v>
      </c>
      <c r="AR847" s="26">
        <v>2</v>
      </c>
      <c r="AS847" s="26" t="s">
        <v>177</v>
      </c>
      <c r="AW847" s="63"/>
      <c r="DA847" s="26">
        <v>92.54</v>
      </c>
      <c r="DB847" s="26">
        <v>83.7</v>
      </c>
      <c r="DC847" s="26" t="s">
        <v>721</v>
      </c>
      <c r="FA847" s="26" t="s">
        <v>872</v>
      </c>
      <c r="FC847" s="26">
        <v>41</v>
      </c>
    </row>
    <row r="848" spans="1:159" s="35" customFormat="1" x14ac:dyDescent="0.25">
      <c r="A848" s="35">
        <v>41</v>
      </c>
      <c r="B848" s="35" t="s">
        <v>717</v>
      </c>
      <c r="C848" s="35" t="s">
        <v>718</v>
      </c>
      <c r="D848" s="35">
        <v>1994</v>
      </c>
      <c r="E848" s="35">
        <v>1989</v>
      </c>
      <c r="F848" s="35" t="s">
        <v>524</v>
      </c>
      <c r="G848" s="35" t="s">
        <v>720</v>
      </c>
      <c r="H848" s="35">
        <v>38.03</v>
      </c>
      <c r="I848" s="35">
        <v>-84.51</v>
      </c>
      <c r="J848" s="35">
        <v>299.60000000000002</v>
      </c>
      <c r="P848" s="54" t="s">
        <v>183</v>
      </c>
      <c r="Q848" s="54"/>
      <c r="R848" s="54" t="s">
        <v>728</v>
      </c>
      <c r="S848" s="54" t="s">
        <v>1644</v>
      </c>
      <c r="T848" s="54" t="s">
        <v>1644</v>
      </c>
      <c r="U848" s="35">
        <v>1.05</v>
      </c>
      <c r="V848" s="35">
        <v>7.3</v>
      </c>
      <c r="W848" s="35">
        <v>70.2</v>
      </c>
      <c r="X848" s="35" t="s">
        <v>168</v>
      </c>
      <c r="Y848" s="35">
        <v>5.48</v>
      </c>
      <c r="Z848" s="35">
        <v>1.1599999999999999</v>
      </c>
      <c r="AB848" s="35" t="s">
        <v>1574</v>
      </c>
      <c r="AC848" s="35" t="s">
        <v>166</v>
      </c>
      <c r="AD848" s="153" t="str">
        <f t="shared" si="226"/>
        <v>Rye</v>
      </c>
      <c r="AE848" s="35" t="s">
        <v>167</v>
      </c>
      <c r="AP848" s="35" t="s">
        <v>154</v>
      </c>
      <c r="AQ848" s="35">
        <v>2</v>
      </c>
      <c r="AR848" s="35">
        <v>2</v>
      </c>
      <c r="AS848" s="35" t="s">
        <v>177</v>
      </c>
      <c r="AW848" s="63"/>
      <c r="DA848" s="35">
        <v>91.05</v>
      </c>
      <c r="DB848" s="35">
        <v>89.54</v>
      </c>
      <c r="DC848" s="35" t="s">
        <v>721</v>
      </c>
      <c r="FA848" s="35" t="s">
        <v>872</v>
      </c>
      <c r="FC848" s="35">
        <v>41</v>
      </c>
    </row>
    <row r="849" spans="1:159" s="35" customFormat="1" x14ac:dyDescent="0.25">
      <c r="A849" s="35">
        <v>41</v>
      </c>
      <c r="B849" s="35" t="s">
        <v>717</v>
      </c>
      <c r="C849" s="35" t="s">
        <v>718</v>
      </c>
      <c r="D849" s="35">
        <v>1994</v>
      </c>
      <c r="E849" s="35">
        <v>1989</v>
      </c>
      <c r="F849" s="35" t="s">
        <v>524</v>
      </c>
      <c r="G849" s="35" t="s">
        <v>720</v>
      </c>
      <c r="H849" s="35">
        <v>38.03</v>
      </c>
      <c r="I849" s="35">
        <v>-84.51</v>
      </c>
      <c r="J849" s="35">
        <v>299.60000000000002</v>
      </c>
      <c r="P849" s="54" t="s">
        <v>183</v>
      </c>
      <c r="Q849" s="54"/>
      <c r="R849" s="54" t="s">
        <v>729</v>
      </c>
      <c r="S849" s="54" t="s">
        <v>1644</v>
      </c>
      <c r="T849" s="54" t="s">
        <v>1644</v>
      </c>
      <c r="U849" s="35">
        <v>1.05</v>
      </c>
      <c r="V849" s="35">
        <v>7.3</v>
      </c>
      <c r="W849" s="35">
        <v>70.2</v>
      </c>
      <c r="X849" s="35" t="s">
        <v>168</v>
      </c>
      <c r="Y849" s="35">
        <v>5.48</v>
      </c>
      <c r="Z849" s="35">
        <v>1.1599999999999999</v>
      </c>
      <c r="AB849" s="35" t="s">
        <v>1574</v>
      </c>
      <c r="AC849" s="35" t="s">
        <v>166</v>
      </c>
      <c r="AD849" s="153" t="str">
        <f t="shared" si="226"/>
        <v>Rye</v>
      </c>
      <c r="AE849" s="35" t="s">
        <v>167</v>
      </c>
      <c r="AP849" s="35" t="s">
        <v>154</v>
      </c>
      <c r="AQ849" s="35">
        <v>2</v>
      </c>
      <c r="AR849" s="35">
        <v>2</v>
      </c>
      <c r="AS849" s="35" t="s">
        <v>177</v>
      </c>
      <c r="AW849" s="63"/>
      <c r="DA849" s="35">
        <v>79.84</v>
      </c>
      <c r="DB849" s="35">
        <v>81.349999999999994</v>
      </c>
      <c r="DC849" s="35" t="s">
        <v>721</v>
      </c>
      <c r="FA849" s="35" t="s">
        <v>872</v>
      </c>
      <c r="FC849" s="35">
        <v>41</v>
      </c>
    </row>
    <row r="850" spans="1:159" s="35" customFormat="1" x14ac:dyDescent="0.25">
      <c r="A850" s="35">
        <v>41</v>
      </c>
      <c r="B850" s="35" t="s">
        <v>717</v>
      </c>
      <c r="C850" s="35" t="s">
        <v>718</v>
      </c>
      <c r="D850" s="35">
        <v>1994</v>
      </c>
      <c r="E850" s="35">
        <v>1989</v>
      </c>
      <c r="F850" s="35" t="s">
        <v>524</v>
      </c>
      <c r="G850" s="35" t="s">
        <v>720</v>
      </c>
      <c r="H850" s="35">
        <v>38.03</v>
      </c>
      <c r="I850" s="35">
        <v>-84.51</v>
      </c>
      <c r="J850" s="35">
        <v>299.60000000000002</v>
      </c>
      <c r="P850" s="54" t="s">
        <v>183</v>
      </c>
      <c r="Q850" s="54"/>
      <c r="R850" s="54" t="s">
        <v>269</v>
      </c>
      <c r="S850" s="54" t="s">
        <v>1644</v>
      </c>
      <c r="T850" s="54" t="s">
        <v>1644</v>
      </c>
      <c r="U850" s="35">
        <v>1.05</v>
      </c>
      <c r="V850" s="35">
        <v>7.3</v>
      </c>
      <c r="W850" s="35">
        <v>70.2</v>
      </c>
      <c r="X850" s="35" t="s">
        <v>168</v>
      </c>
      <c r="Y850" s="35">
        <v>5.48</v>
      </c>
      <c r="Z850" s="35">
        <v>1.1599999999999999</v>
      </c>
      <c r="AB850" s="35" t="s">
        <v>1574</v>
      </c>
      <c r="AC850" s="35" t="s">
        <v>166</v>
      </c>
      <c r="AD850" s="153" t="str">
        <f t="shared" si="226"/>
        <v>Rye</v>
      </c>
      <c r="AE850" s="35" t="s">
        <v>167</v>
      </c>
      <c r="AP850" s="35" t="s">
        <v>154</v>
      </c>
      <c r="AQ850" s="35">
        <v>2</v>
      </c>
      <c r="AR850" s="35">
        <v>2</v>
      </c>
      <c r="AS850" s="35" t="s">
        <v>177</v>
      </c>
      <c r="AW850" s="63"/>
      <c r="DA850" s="35">
        <v>100</v>
      </c>
      <c r="DB850" s="35">
        <v>97</v>
      </c>
      <c r="DC850" s="35" t="s">
        <v>721</v>
      </c>
      <c r="FA850" s="35" t="s">
        <v>872</v>
      </c>
      <c r="FC850" s="35">
        <v>41</v>
      </c>
    </row>
    <row r="851" spans="1:159" s="35" customFormat="1" x14ac:dyDescent="0.25">
      <c r="A851" s="35">
        <v>41</v>
      </c>
      <c r="B851" s="35" t="s">
        <v>717</v>
      </c>
      <c r="C851" s="35" t="s">
        <v>718</v>
      </c>
      <c r="D851" s="35">
        <v>1994</v>
      </c>
      <c r="E851" s="35">
        <v>1989</v>
      </c>
      <c r="F851" s="35" t="s">
        <v>524</v>
      </c>
      <c r="G851" s="35" t="s">
        <v>720</v>
      </c>
      <c r="H851" s="35">
        <v>38.03</v>
      </c>
      <c r="I851" s="35">
        <v>-84.51</v>
      </c>
      <c r="J851" s="35">
        <v>299.60000000000002</v>
      </c>
      <c r="P851" s="54" t="s">
        <v>183</v>
      </c>
      <c r="Q851" s="54"/>
      <c r="R851" s="54" t="s">
        <v>726</v>
      </c>
      <c r="S851" s="54" t="s">
        <v>1644</v>
      </c>
      <c r="T851" s="54" t="s">
        <v>1644</v>
      </c>
      <c r="U851" s="35">
        <v>1.05</v>
      </c>
      <c r="V851" s="35">
        <v>7.3</v>
      </c>
      <c r="W851" s="35">
        <v>70.2</v>
      </c>
      <c r="X851" s="35" t="s">
        <v>168</v>
      </c>
      <c r="Y851" s="35">
        <v>5.48</v>
      </c>
      <c r="Z851" s="35">
        <v>1.1599999999999999</v>
      </c>
      <c r="AB851" s="35" t="s">
        <v>1574</v>
      </c>
      <c r="AC851" s="35" t="s">
        <v>166</v>
      </c>
      <c r="AD851" s="153" t="str">
        <f t="shared" si="226"/>
        <v>Rye</v>
      </c>
      <c r="AE851" s="35" t="s">
        <v>167</v>
      </c>
      <c r="AP851" s="35" t="s">
        <v>154</v>
      </c>
      <c r="AQ851" s="35">
        <v>2</v>
      </c>
      <c r="AR851" s="35">
        <v>2</v>
      </c>
      <c r="AS851" s="35" t="s">
        <v>177</v>
      </c>
      <c r="AW851" s="63"/>
      <c r="DA851" s="35">
        <v>91.73</v>
      </c>
      <c r="DB851" s="35">
        <v>89</v>
      </c>
      <c r="DC851" s="35" t="s">
        <v>721</v>
      </c>
      <c r="FA851" s="35" t="s">
        <v>872</v>
      </c>
      <c r="FC851" s="35">
        <v>41</v>
      </c>
    </row>
    <row r="852" spans="1:159" s="35" customFormat="1" x14ac:dyDescent="0.25">
      <c r="A852" s="35">
        <v>41</v>
      </c>
      <c r="B852" s="35" t="s">
        <v>717</v>
      </c>
      <c r="C852" s="35" t="s">
        <v>718</v>
      </c>
      <c r="D852" s="35">
        <v>1994</v>
      </c>
      <c r="E852" s="35">
        <v>1989</v>
      </c>
      <c r="F852" s="35" t="s">
        <v>524</v>
      </c>
      <c r="G852" s="35" t="s">
        <v>720</v>
      </c>
      <c r="H852" s="35">
        <v>38.03</v>
      </c>
      <c r="I852" s="35">
        <v>-84.51</v>
      </c>
      <c r="J852" s="35">
        <v>299.60000000000002</v>
      </c>
      <c r="P852" s="54" t="s">
        <v>183</v>
      </c>
      <c r="Q852" s="54"/>
      <c r="R852" s="54" t="s">
        <v>257</v>
      </c>
      <c r="S852" s="54" t="s">
        <v>1644</v>
      </c>
      <c r="T852" s="54" t="s">
        <v>1644</v>
      </c>
      <c r="U852" s="35">
        <v>1.05</v>
      </c>
      <c r="V852" s="35">
        <v>7.3</v>
      </c>
      <c r="W852" s="35">
        <v>70.2</v>
      </c>
      <c r="X852" s="35" t="s">
        <v>168</v>
      </c>
      <c r="Y852" s="35">
        <v>5.48</v>
      </c>
      <c r="Z852" s="35">
        <v>1.1599999999999999</v>
      </c>
      <c r="AB852" s="35" t="s">
        <v>1574</v>
      </c>
      <c r="AC852" s="35" t="s">
        <v>166</v>
      </c>
      <c r="AD852" s="153" t="str">
        <f t="shared" si="226"/>
        <v>Rye</v>
      </c>
      <c r="AE852" s="35" t="s">
        <v>167</v>
      </c>
      <c r="AP852" s="35" t="s">
        <v>154</v>
      </c>
      <c r="AQ852" s="35">
        <v>2</v>
      </c>
      <c r="AR852" s="35">
        <v>2</v>
      </c>
      <c r="AS852" s="35" t="s">
        <v>177</v>
      </c>
      <c r="AW852" s="63"/>
      <c r="DA852" s="35">
        <v>73.400000000000006</v>
      </c>
      <c r="DB852" s="35">
        <v>76.209999999999994</v>
      </c>
      <c r="DC852" s="35" t="s">
        <v>721</v>
      </c>
      <c r="FA852" s="35" t="s">
        <v>872</v>
      </c>
      <c r="FC852" s="35">
        <v>41</v>
      </c>
    </row>
    <row r="853" spans="1:159" s="35" customFormat="1" x14ac:dyDescent="0.25">
      <c r="A853" s="35">
        <v>41</v>
      </c>
      <c r="B853" s="35" t="s">
        <v>717</v>
      </c>
      <c r="C853" s="35" t="s">
        <v>718</v>
      </c>
      <c r="D853" s="35">
        <v>1994</v>
      </c>
      <c r="E853" s="35">
        <v>1989</v>
      </c>
      <c r="F853" s="35" t="s">
        <v>524</v>
      </c>
      <c r="G853" s="35" t="s">
        <v>720</v>
      </c>
      <c r="H853" s="35">
        <v>38.03</v>
      </c>
      <c r="I853" s="35">
        <v>-84.51</v>
      </c>
      <c r="J853" s="35">
        <v>299.60000000000002</v>
      </c>
      <c r="P853" s="54" t="s">
        <v>183</v>
      </c>
      <c r="Q853" s="54"/>
      <c r="R853" s="54" t="s">
        <v>722</v>
      </c>
      <c r="S853" s="54" t="s">
        <v>1644</v>
      </c>
      <c r="T853" s="54" t="s">
        <v>1644</v>
      </c>
      <c r="U853" s="35">
        <v>1.05</v>
      </c>
      <c r="V853" s="35">
        <v>7.3</v>
      </c>
      <c r="W853" s="35">
        <v>70.2</v>
      </c>
      <c r="X853" s="35" t="s">
        <v>168</v>
      </c>
      <c r="Y853" s="35">
        <v>5.48</v>
      </c>
      <c r="Z853" s="35">
        <v>1.1599999999999999</v>
      </c>
      <c r="AB853" s="35" t="s">
        <v>1574</v>
      </c>
      <c r="AC853" s="35" t="s">
        <v>166</v>
      </c>
      <c r="AD853" s="153" t="str">
        <f t="shared" si="226"/>
        <v>Rye</v>
      </c>
      <c r="AE853" s="35" t="s">
        <v>167</v>
      </c>
      <c r="AP853" s="35" t="s">
        <v>154</v>
      </c>
      <c r="AQ853" s="35">
        <v>2</v>
      </c>
      <c r="AR853" s="35">
        <v>2</v>
      </c>
      <c r="AS853" s="35" t="s">
        <v>177</v>
      </c>
      <c r="AW853" s="63"/>
      <c r="DA853" s="35">
        <v>59.4</v>
      </c>
      <c r="DB853" s="35">
        <v>50.55</v>
      </c>
      <c r="DC853" s="35" t="s">
        <v>721</v>
      </c>
      <c r="FA853" s="35" t="s">
        <v>872</v>
      </c>
      <c r="FC853" s="35">
        <v>41</v>
      </c>
    </row>
    <row r="854" spans="1:159" s="35" customFormat="1" x14ac:dyDescent="0.25">
      <c r="A854" s="35">
        <v>41</v>
      </c>
      <c r="B854" s="35" t="s">
        <v>717</v>
      </c>
      <c r="C854" s="35" t="s">
        <v>718</v>
      </c>
      <c r="D854" s="35">
        <v>1994</v>
      </c>
      <c r="E854" s="35">
        <v>1989</v>
      </c>
      <c r="F854" s="35" t="s">
        <v>524</v>
      </c>
      <c r="G854" s="35" t="s">
        <v>720</v>
      </c>
      <c r="H854" s="35">
        <v>38.03</v>
      </c>
      <c r="I854" s="35">
        <v>-84.51</v>
      </c>
      <c r="J854" s="35">
        <v>299.60000000000002</v>
      </c>
      <c r="P854" s="54" t="s">
        <v>183</v>
      </c>
      <c r="Q854" s="54"/>
      <c r="R854" s="54" t="s">
        <v>284</v>
      </c>
      <c r="S854" s="54" t="s">
        <v>1644</v>
      </c>
      <c r="T854" s="54" t="s">
        <v>1644</v>
      </c>
      <c r="U854" s="35">
        <v>1.05</v>
      </c>
      <c r="V854" s="35">
        <v>7.3</v>
      </c>
      <c r="W854" s="35">
        <v>70.2</v>
      </c>
      <c r="X854" s="35" t="s">
        <v>168</v>
      </c>
      <c r="Y854" s="35">
        <v>5.48</v>
      </c>
      <c r="Z854" s="35">
        <v>1.1599999999999999</v>
      </c>
      <c r="AB854" s="35" t="s">
        <v>1574</v>
      </c>
      <c r="AC854" s="35" t="s">
        <v>166</v>
      </c>
      <c r="AD854" s="153" t="str">
        <f t="shared" si="226"/>
        <v>Rye</v>
      </c>
      <c r="AE854" s="35" t="s">
        <v>167</v>
      </c>
      <c r="AP854" s="35" t="s">
        <v>154</v>
      </c>
      <c r="AQ854" s="35">
        <v>2</v>
      </c>
      <c r="AR854" s="35">
        <v>2</v>
      </c>
      <c r="AS854" s="35" t="s">
        <v>177</v>
      </c>
      <c r="AW854" s="63"/>
      <c r="DA854" s="35">
        <v>63.73</v>
      </c>
      <c r="DB854" s="35">
        <v>46</v>
      </c>
      <c r="DC854" s="35" t="s">
        <v>721</v>
      </c>
      <c r="FA854" s="35" t="s">
        <v>872</v>
      </c>
      <c r="FC854" s="35">
        <v>41</v>
      </c>
    </row>
    <row r="855" spans="1:159" s="26" customFormat="1" x14ac:dyDescent="0.25">
      <c r="A855" s="26">
        <v>41</v>
      </c>
      <c r="B855" s="26" t="s">
        <v>717</v>
      </c>
      <c r="C855" s="26" t="s">
        <v>718</v>
      </c>
      <c r="D855" s="26">
        <v>1994</v>
      </c>
      <c r="E855" s="26">
        <v>1986</v>
      </c>
      <c r="F855" s="26" t="s">
        <v>524</v>
      </c>
      <c r="G855" s="26" t="s">
        <v>720</v>
      </c>
      <c r="H855" s="26">
        <v>38.03</v>
      </c>
      <c r="I855" s="26">
        <v>-84.51</v>
      </c>
      <c r="J855" s="26">
        <v>299.60000000000002</v>
      </c>
      <c r="P855" s="52" t="s">
        <v>180</v>
      </c>
      <c r="Q855" s="52"/>
      <c r="R855" s="52" t="s">
        <v>284</v>
      </c>
      <c r="S855" s="52" t="s">
        <v>1644</v>
      </c>
      <c r="T855" s="52" t="s">
        <v>1644</v>
      </c>
      <c r="U855" s="26">
        <v>1.05</v>
      </c>
      <c r="V855" s="26">
        <v>7.3</v>
      </c>
      <c r="W855" s="26">
        <v>70.2</v>
      </c>
      <c r="X855" s="26" t="s">
        <v>168</v>
      </c>
      <c r="Y855" s="26">
        <v>5.48</v>
      </c>
      <c r="Z855" s="26">
        <v>1.1599999999999999</v>
      </c>
      <c r="AB855" s="26" t="s">
        <v>1574</v>
      </c>
      <c r="AC855" s="26" t="s">
        <v>301</v>
      </c>
      <c r="AD855" s="153" t="str">
        <f t="shared" si="226"/>
        <v>Vetch</v>
      </c>
      <c r="AE855" s="26" t="s">
        <v>167</v>
      </c>
      <c r="AP855" s="26" t="s">
        <v>154</v>
      </c>
      <c r="AQ855" s="26">
        <v>2</v>
      </c>
      <c r="AR855" s="26">
        <v>2</v>
      </c>
      <c r="AS855" s="26" t="s">
        <v>177</v>
      </c>
      <c r="AW855" s="63"/>
      <c r="DA855" s="26">
        <v>0.4</v>
      </c>
      <c r="DB855" s="26">
        <v>0.51</v>
      </c>
      <c r="DC855" s="26" t="s">
        <v>730</v>
      </c>
      <c r="FA855" s="26" t="s">
        <v>872</v>
      </c>
      <c r="FC855" s="26">
        <v>41</v>
      </c>
    </row>
    <row r="856" spans="1:159" s="26" customFormat="1" x14ac:dyDescent="0.25">
      <c r="A856" s="26">
        <v>41</v>
      </c>
      <c r="B856" s="26" t="s">
        <v>717</v>
      </c>
      <c r="C856" s="26" t="s">
        <v>718</v>
      </c>
      <c r="D856" s="26">
        <v>1994</v>
      </c>
      <c r="E856" s="26">
        <v>1986</v>
      </c>
      <c r="F856" s="26" t="s">
        <v>524</v>
      </c>
      <c r="G856" s="26" t="s">
        <v>720</v>
      </c>
      <c r="H856" s="26">
        <v>38.03</v>
      </c>
      <c r="I856" s="26">
        <v>-84.51</v>
      </c>
      <c r="J856" s="26">
        <v>299.60000000000002</v>
      </c>
      <c r="P856" s="52" t="s">
        <v>180</v>
      </c>
      <c r="Q856" s="52"/>
      <c r="R856" s="52" t="s">
        <v>723</v>
      </c>
      <c r="S856" s="52" t="s">
        <v>1644</v>
      </c>
      <c r="T856" s="52" t="s">
        <v>1644</v>
      </c>
      <c r="U856" s="26">
        <v>1.05</v>
      </c>
      <c r="V856" s="26">
        <v>7.3</v>
      </c>
      <c r="W856" s="26">
        <v>70.2</v>
      </c>
      <c r="X856" s="26" t="s">
        <v>168</v>
      </c>
      <c r="Y856" s="26">
        <v>5.48</v>
      </c>
      <c r="Z856" s="26">
        <v>1.1599999999999999</v>
      </c>
      <c r="AB856" s="26" t="s">
        <v>1574</v>
      </c>
      <c r="AC856" s="26" t="s">
        <v>301</v>
      </c>
      <c r="AD856" s="153" t="str">
        <f t="shared" si="226"/>
        <v>Vetch</v>
      </c>
      <c r="AE856" s="26" t="s">
        <v>167</v>
      </c>
      <c r="AP856" s="26" t="s">
        <v>154</v>
      </c>
      <c r="AQ856" s="26">
        <v>2</v>
      </c>
      <c r="AR856" s="26">
        <v>2</v>
      </c>
      <c r="AS856" s="26" t="s">
        <v>177</v>
      </c>
      <c r="AW856" s="63"/>
      <c r="DA856" s="26">
        <v>0.187</v>
      </c>
      <c r="DB856" s="26">
        <v>0.3</v>
      </c>
      <c r="DC856" s="26" t="s">
        <v>730</v>
      </c>
      <c r="FA856" s="26" t="s">
        <v>872</v>
      </c>
      <c r="FC856" s="26">
        <v>41</v>
      </c>
    </row>
    <row r="857" spans="1:159" s="26" customFormat="1" x14ac:dyDescent="0.25">
      <c r="A857" s="26">
        <v>41</v>
      </c>
      <c r="B857" s="26" t="s">
        <v>717</v>
      </c>
      <c r="C857" s="26" t="s">
        <v>718</v>
      </c>
      <c r="D857" s="26">
        <v>1994</v>
      </c>
      <c r="E857" s="26">
        <v>1986</v>
      </c>
      <c r="F857" s="26" t="s">
        <v>524</v>
      </c>
      <c r="G857" s="26" t="s">
        <v>720</v>
      </c>
      <c r="H857" s="26">
        <v>38.03</v>
      </c>
      <c r="I857" s="26">
        <v>-84.51</v>
      </c>
      <c r="J857" s="26">
        <v>299.60000000000002</v>
      </c>
      <c r="P857" s="52" t="s">
        <v>180</v>
      </c>
      <c r="Q857" s="52"/>
      <c r="R857" s="52" t="s">
        <v>724</v>
      </c>
      <c r="S857" s="52" t="s">
        <v>1644</v>
      </c>
      <c r="T857" s="52" t="s">
        <v>1644</v>
      </c>
      <c r="U857" s="26">
        <v>1.05</v>
      </c>
      <c r="V857" s="26">
        <v>7.3</v>
      </c>
      <c r="W857" s="26">
        <v>70.2</v>
      </c>
      <c r="X857" s="26" t="s">
        <v>168</v>
      </c>
      <c r="Y857" s="26">
        <v>5.48</v>
      </c>
      <c r="Z857" s="26">
        <v>1.1599999999999999</v>
      </c>
      <c r="AB857" s="26" t="s">
        <v>1574</v>
      </c>
      <c r="AC857" s="26" t="s">
        <v>301</v>
      </c>
      <c r="AD857" s="153" t="str">
        <f t="shared" si="226"/>
        <v>Vetch</v>
      </c>
      <c r="AE857" s="26" t="s">
        <v>167</v>
      </c>
      <c r="AP857" s="26" t="s">
        <v>154</v>
      </c>
      <c r="AQ857" s="26">
        <v>2</v>
      </c>
      <c r="AR857" s="26">
        <v>2</v>
      </c>
      <c r="AS857" s="26" t="s">
        <v>177</v>
      </c>
      <c r="AW857" s="63"/>
      <c r="DA857" s="26">
        <v>3.5000000000000003E-2</v>
      </c>
      <c r="DB857" s="26">
        <v>0.05</v>
      </c>
      <c r="DC857" s="26" t="s">
        <v>730</v>
      </c>
      <c r="FA857" s="26" t="s">
        <v>872</v>
      </c>
      <c r="FC857" s="26">
        <v>41</v>
      </c>
    </row>
    <row r="858" spans="1:159" s="26" customFormat="1" x14ac:dyDescent="0.25">
      <c r="A858" s="26">
        <v>41</v>
      </c>
      <c r="B858" s="26" t="s">
        <v>717</v>
      </c>
      <c r="C858" s="26" t="s">
        <v>718</v>
      </c>
      <c r="D858" s="26">
        <v>1994</v>
      </c>
      <c r="E858" s="26">
        <v>1986</v>
      </c>
      <c r="F858" s="26" t="s">
        <v>524</v>
      </c>
      <c r="G858" s="26" t="s">
        <v>720</v>
      </c>
      <c r="H858" s="26">
        <v>38.03</v>
      </c>
      <c r="I858" s="26">
        <v>-84.51</v>
      </c>
      <c r="J858" s="26">
        <v>299.60000000000002</v>
      </c>
      <c r="P858" s="52" t="s">
        <v>180</v>
      </c>
      <c r="Q858" s="52"/>
      <c r="R858" s="52" t="s">
        <v>637</v>
      </c>
      <c r="S858" s="52" t="s">
        <v>1644</v>
      </c>
      <c r="T858" s="52" t="s">
        <v>1644</v>
      </c>
      <c r="U858" s="26">
        <v>1.05</v>
      </c>
      <c r="V858" s="26">
        <v>7.3</v>
      </c>
      <c r="W858" s="26">
        <v>70.2</v>
      </c>
      <c r="X858" s="26" t="s">
        <v>168</v>
      </c>
      <c r="Y858" s="26">
        <v>5.48</v>
      </c>
      <c r="Z858" s="26">
        <v>1.1599999999999999</v>
      </c>
      <c r="AB858" s="26" t="s">
        <v>1574</v>
      </c>
      <c r="AC858" s="26" t="s">
        <v>301</v>
      </c>
      <c r="AD858" s="153" t="str">
        <f t="shared" si="226"/>
        <v>Vetch</v>
      </c>
      <c r="AE858" s="26" t="s">
        <v>167</v>
      </c>
      <c r="AP858" s="26" t="s">
        <v>154</v>
      </c>
      <c r="AQ858" s="26">
        <v>2</v>
      </c>
      <c r="AR858" s="26">
        <v>2</v>
      </c>
      <c r="AS858" s="26" t="s">
        <v>177</v>
      </c>
      <c r="AW858" s="63"/>
      <c r="DA858" s="26">
        <v>0.08</v>
      </c>
      <c r="DB858" s="26">
        <v>0.04</v>
      </c>
      <c r="DC858" s="26" t="s">
        <v>730</v>
      </c>
      <c r="FA858" s="26" t="s">
        <v>872</v>
      </c>
      <c r="FC858" s="26">
        <v>41</v>
      </c>
    </row>
    <row r="859" spans="1:159" s="35" customFormat="1" x14ac:dyDescent="0.25">
      <c r="A859" s="35">
        <v>41</v>
      </c>
      <c r="B859" s="35" t="s">
        <v>717</v>
      </c>
      <c r="C859" s="35" t="s">
        <v>718</v>
      </c>
      <c r="D859" s="35">
        <v>1994</v>
      </c>
      <c r="E859" s="35">
        <v>1987</v>
      </c>
      <c r="F859" s="35" t="s">
        <v>524</v>
      </c>
      <c r="G859" s="35" t="s">
        <v>720</v>
      </c>
      <c r="H859" s="35">
        <v>38.03</v>
      </c>
      <c r="I859" s="35">
        <v>-84.51</v>
      </c>
      <c r="J859" s="35">
        <v>299.60000000000002</v>
      </c>
      <c r="P859" s="54" t="s">
        <v>181</v>
      </c>
      <c r="Q859" s="54"/>
      <c r="R859" s="54" t="s">
        <v>728</v>
      </c>
      <c r="S859" s="54" t="s">
        <v>1644</v>
      </c>
      <c r="T859" s="54" t="s">
        <v>1644</v>
      </c>
      <c r="U859" s="35">
        <v>1.05</v>
      </c>
      <c r="V859" s="35">
        <v>7.3</v>
      </c>
      <c r="W859" s="35">
        <v>70.2</v>
      </c>
      <c r="X859" s="35" t="s">
        <v>168</v>
      </c>
      <c r="Y859" s="35">
        <v>5.48</v>
      </c>
      <c r="Z859" s="35">
        <v>1.1599999999999999</v>
      </c>
      <c r="AB859" s="35" t="s">
        <v>1574</v>
      </c>
      <c r="AC859" s="35" t="s">
        <v>301</v>
      </c>
      <c r="AD859" s="153" t="str">
        <f t="shared" si="226"/>
        <v>Vetch</v>
      </c>
      <c r="AE859" s="35" t="s">
        <v>167</v>
      </c>
      <c r="AP859" s="35" t="s">
        <v>154</v>
      </c>
      <c r="AQ859" s="35">
        <v>2</v>
      </c>
      <c r="AR859" s="35">
        <v>2</v>
      </c>
      <c r="AS859" s="35" t="s">
        <v>177</v>
      </c>
      <c r="AW859" s="63"/>
      <c r="DA859" s="35">
        <v>0.36</v>
      </c>
      <c r="DB859" s="35">
        <v>0.47699999999999998</v>
      </c>
      <c r="DC859" s="35" t="s">
        <v>730</v>
      </c>
      <c r="FA859" s="35" t="s">
        <v>872</v>
      </c>
      <c r="FC859" s="35">
        <v>41</v>
      </c>
    </row>
    <row r="860" spans="1:159" s="35" customFormat="1" x14ac:dyDescent="0.25">
      <c r="A860" s="35">
        <v>41</v>
      </c>
      <c r="B860" s="35" t="s">
        <v>717</v>
      </c>
      <c r="C860" s="35" t="s">
        <v>718</v>
      </c>
      <c r="D860" s="35">
        <v>1994</v>
      </c>
      <c r="E860" s="35">
        <v>1987</v>
      </c>
      <c r="F860" s="35" t="s">
        <v>524</v>
      </c>
      <c r="G860" s="35" t="s">
        <v>720</v>
      </c>
      <c r="H860" s="35">
        <v>38.03</v>
      </c>
      <c r="I860" s="35">
        <v>-84.51</v>
      </c>
      <c r="J860" s="35">
        <v>299.60000000000002</v>
      </c>
      <c r="P860" s="54" t="s">
        <v>181</v>
      </c>
      <c r="Q860" s="54"/>
      <c r="R860" s="54" t="s">
        <v>729</v>
      </c>
      <c r="S860" s="54" t="s">
        <v>1644</v>
      </c>
      <c r="T860" s="54" t="s">
        <v>1644</v>
      </c>
      <c r="U860" s="35">
        <v>1.05</v>
      </c>
      <c r="V860" s="35">
        <v>7.3</v>
      </c>
      <c r="W860" s="35">
        <v>70.2</v>
      </c>
      <c r="X860" s="35" t="s">
        <v>168</v>
      </c>
      <c r="Y860" s="35">
        <v>5.48</v>
      </c>
      <c r="Z860" s="35">
        <v>1.1599999999999999</v>
      </c>
      <c r="AB860" s="35" t="s">
        <v>1574</v>
      </c>
      <c r="AC860" s="35" t="s">
        <v>301</v>
      </c>
      <c r="AD860" s="153" t="str">
        <f t="shared" si="226"/>
        <v>Vetch</v>
      </c>
      <c r="AE860" s="35" t="s">
        <v>167</v>
      </c>
      <c r="AP860" s="35" t="s">
        <v>154</v>
      </c>
      <c r="AQ860" s="35">
        <v>2</v>
      </c>
      <c r="AR860" s="35">
        <v>2</v>
      </c>
      <c r="AS860" s="35" t="s">
        <v>177</v>
      </c>
      <c r="AW860" s="63"/>
      <c r="DA860" s="35">
        <v>0.32</v>
      </c>
      <c r="DB860" s="35">
        <v>0.42</v>
      </c>
      <c r="DC860" s="35" t="s">
        <v>730</v>
      </c>
      <c r="FA860" s="35" t="s">
        <v>872</v>
      </c>
      <c r="FC860" s="35">
        <v>41</v>
      </c>
    </row>
    <row r="861" spans="1:159" s="35" customFormat="1" x14ac:dyDescent="0.25">
      <c r="A861" s="35">
        <v>41</v>
      </c>
      <c r="B861" s="35" t="s">
        <v>717</v>
      </c>
      <c r="C861" s="35" t="s">
        <v>718</v>
      </c>
      <c r="D861" s="35">
        <v>1994</v>
      </c>
      <c r="E861" s="35">
        <v>1987</v>
      </c>
      <c r="F861" s="35" t="s">
        <v>524</v>
      </c>
      <c r="G861" s="35" t="s">
        <v>720</v>
      </c>
      <c r="H861" s="35">
        <v>38.03</v>
      </c>
      <c r="I861" s="35">
        <v>-84.51</v>
      </c>
      <c r="J861" s="35">
        <v>299.60000000000002</v>
      </c>
      <c r="P861" s="54" t="s">
        <v>181</v>
      </c>
      <c r="Q861" s="54"/>
      <c r="R861" s="54" t="s">
        <v>269</v>
      </c>
      <c r="S861" s="54" t="s">
        <v>1644</v>
      </c>
      <c r="T861" s="54" t="s">
        <v>1644</v>
      </c>
      <c r="U861" s="35">
        <v>1.05</v>
      </c>
      <c r="V861" s="35">
        <v>7.3</v>
      </c>
      <c r="W861" s="35">
        <v>70.2</v>
      </c>
      <c r="X861" s="35" t="s">
        <v>168</v>
      </c>
      <c r="Y861" s="35">
        <v>5.48</v>
      </c>
      <c r="Z861" s="35">
        <v>1.1599999999999999</v>
      </c>
      <c r="AB861" s="35" t="s">
        <v>1574</v>
      </c>
      <c r="AC861" s="35" t="s">
        <v>301</v>
      </c>
      <c r="AD861" s="153" t="str">
        <f t="shared" si="226"/>
        <v>Vetch</v>
      </c>
      <c r="AE861" s="35" t="s">
        <v>167</v>
      </c>
      <c r="AP861" s="35" t="s">
        <v>154</v>
      </c>
      <c r="AQ861" s="35">
        <v>2</v>
      </c>
      <c r="AR861" s="35">
        <v>2</v>
      </c>
      <c r="AS861" s="35" t="s">
        <v>177</v>
      </c>
      <c r="AW861" s="63"/>
      <c r="DA861" s="35">
        <v>0.28999999999999998</v>
      </c>
      <c r="DB861" s="35">
        <v>0.36499999999999999</v>
      </c>
      <c r="DC861" s="35" t="s">
        <v>730</v>
      </c>
      <c r="FA861" s="35" t="s">
        <v>872</v>
      </c>
      <c r="FC861" s="35">
        <v>41</v>
      </c>
    </row>
    <row r="862" spans="1:159" s="35" customFormat="1" x14ac:dyDescent="0.25">
      <c r="A862" s="35">
        <v>41</v>
      </c>
      <c r="B862" s="35" t="s">
        <v>717</v>
      </c>
      <c r="C862" s="35" t="s">
        <v>718</v>
      </c>
      <c r="D862" s="35">
        <v>1994</v>
      </c>
      <c r="E862" s="35">
        <v>1987</v>
      </c>
      <c r="F862" s="35" t="s">
        <v>524</v>
      </c>
      <c r="G862" s="35" t="s">
        <v>720</v>
      </c>
      <c r="H862" s="35">
        <v>38.03</v>
      </c>
      <c r="I862" s="35">
        <v>-84.51</v>
      </c>
      <c r="J862" s="35">
        <v>299.60000000000002</v>
      </c>
      <c r="P862" s="54" t="s">
        <v>181</v>
      </c>
      <c r="Q862" s="54"/>
      <c r="R862" s="54" t="s">
        <v>726</v>
      </c>
      <c r="S862" s="54" t="s">
        <v>1644</v>
      </c>
      <c r="T862" s="54" t="s">
        <v>1644</v>
      </c>
      <c r="U862" s="35">
        <v>1.05</v>
      </c>
      <c r="V862" s="35">
        <v>7.3</v>
      </c>
      <c r="W862" s="35">
        <v>70.2</v>
      </c>
      <c r="X862" s="35" t="s">
        <v>168</v>
      </c>
      <c r="Y862" s="35">
        <v>5.48</v>
      </c>
      <c r="Z862" s="35">
        <v>1.1599999999999999</v>
      </c>
      <c r="AB862" s="35" t="s">
        <v>1574</v>
      </c>
      <c r="AC862" s="35" t="s">
        <v>301</v>
      </c>
      <c r="AD862" s="153" t="str">
        <f t="shared" si="226"/>
        <v>Vetch</v>
      </c>
      <c r="AE862" s="35" t="s">
        <v>167</v>
      </c>
      <c r="AP862" s="35" t="s">
        <v>154</v>
      </c>
      <c r="AQ862" s="35">
        <v>2</v>
      </c>
      <c r="AR862" s="35">
        <v>2</v>
      </c>
      <c r="AS862" s="35" t="s">
        <v>177</v>
      </c>
      <c r="AW862" s="63"/>
      <c r="DA862" s="35">
        <v>0.24399999999999999</v>
      </c>
      <c r="DB862" s="35">
        <v>0.24</v>
      </c>
      <c r="DC862" s="35" t="s">
        <v>730</v>
      </c>
      <c r="FA862" s="35" t="s">
        <v>872</v>
      </c>
      <c r="FC862" s="35">
        <v>41</v>
      </c>
    </row>
    <row r="863" spans="1:159" s="35" customFormat="1" x14ac:dyDescent="0.25">
      <c r="A863" s="35">
        <v>41</v>
      </c>
      <c r="B863" s="35" t="s">
        <v>717</v>
      </c>
      <c r="C863" s="35" t="s">
        <v>718</v>
      </c>
      <c r="D863" s="35">
        <v>1994</v>
      </c>
      <c r="E863" s="35">
        <v>1987</v>
      </c>
      <c r="F863" s="35" t="s">
        <v>524</v>
      </c>
      <c r="G863" s="35" t="s">
        <v>720</v>
      </c>
      <c r="H863" s="35">
        <v>38.03</v>
      </c>
      <c r="I863" s="35">
        <v>-84.51</v>
      </c>
      <c r="J863" s="35">
        <v>299.60000000000002</v>
      </c>
      <c r="P863" s="54" t="s">
        <v>181</v>
      </c>
      <c r="Q863" s="54"/>
      <c r="R863" s="54" t="s">
        <v>257</v>
      </c>
      <c r="S863" s="54" t="s">
        <v>1644</v>
      </c>
      <c r="T863" s="54" t="s">
        <v>1644</v>
      </c>
      <c r="U863" s="35">
        <v>1.05</v>
      </c>
      <c r="V863" s="35">
        <v>7.3</v>
      </c>
      <c r="W863" s="35">
        <v>70.2</v>
      </c>
      <c r="X863" s="35" t="s">
        <v>168</v>
      </c>
      <c r="Y863" s="35">
        <v>5.48</v>
      </c>
      <c r="Z863" s="35">
        <v>1.1599999999999999</v>
      </c>
      <c r="AB863" s="35" t="s">
        <v>1574</v>
      </c>
      <c r="AC863" s="35" t="s">
        <v>301</v>
      </c>
      <c r="AD863" s="153" t="str">
        <f t="shared" si="226"/>
        <v>Vetch</v>
      </c>
      <c r="AE863" s="35" t="s">
        <v>167</v>
      </c>
      <c r="AP863" s="35" t="s">
        <v>154</v>
      </c>
      <c r="AQ863" s="35">
        <v>2</v>
      </c>
      <c r="AR863" s="35">
        <v>2</v>
      </c>
      <c r="AS863" s="35" t="s">
        <v>177</v>
      </c>
      <c r="AW863" s="63"/>
      <c r="DA863" s="35">
        <v>0.20599999999999999</v>
      </c>
      <c r="DB863" s="35">
        <v>0.21</v>
      </c>
      <c r="DC863" s="35" t="s">
        <v>730</v>
      </c>
      <c r="FA863" s="35" t="s">
        <v>872</v>
      </c>
      <c r="FC863" s="35">
        <v>41</v>
      </c>
    </row>
    <row r="864" spans="1:159" s="35" customFormat="1" x14ac:dyDescent="0.25">
      <c r="A864" s="35">
        <v>41</v>
      </c>
      <c r="B864" s="35" t="s">
        <v>717</v>
      </c>
      <c r="C864" s="35" t="s">
        <v>718</v>
      </c>
      <c r="D864" s="35">
        <v>1994</v>
      </c>
      <c r="E864" s="35">
        <v>1987</v>
      </c>
      <c r="F864" s="35" t="s">
        <v>524</v>
      </c>
      <c r="G864" s="35" t="s">
        <v>720</v>
      </c>
      <c r="H864" s="35">
        <v>38.03</v>
      </c>
      <c r="I864" s="35">
        <v>-84.51</v>
      </c>
      <c r="J864" s="35">
        <v>299.60000000000002</v>
      </c>
      <c r="P864" s="54" t="s">
        <v>181</v>
      </c>
      <c r="Q864" s="54"/>
      <c r="R864" s="54" t="s">
        <v>722</v>
      </c>
      <c r="S864" s="54" t="s">
        <v>1644</v>
      </c>
      <c r="T864" s="54" t="s">
        <v>1644</v>
      </c>
      <c r="U864" s="35">
        <v>1.05</v>
      </c>
      <c r="V864" s="35">
        <v>7.3</v>
      </c>
      <c r="W864" s="35">
        <v>70.2</v>
      </c>
      <c r="X864" s="35" t="s">
        <v>168</v>
      </c>
      <c r="Y864" s="35">
        <v>5.48</v>
      </c>
      <c r="Z864" s="35">
        <v>1.1599999999999999</v>
      </c>
      <c r="AB864" s="35" t="s">
        <v>1574</v>
      </c>
      <c r="AC864" s="35" t="s">
        <v>301</v>
      </c>
      <c r="AD864" s="153" t="str">
        <f t="shared" si="226"/>
        <v>Vetch</v>
      </c>
      <c r="AE864" s="35" t="s">
        <v>167</v>
      </c>
      <c r="AP864" s="35" t="s">
        <v>154</v>
      </c>
      <c r="AQ864" s="35">
        <v>2</v>
      </c>
      <c r="AR864" s="35">
        <v>2</v>
      </c>
      <c r="AS864" s="35" t="s">
        <v>177</v>
      </c>
      <c r="AW864" s="63"/>
      <c r="DA864" s="35">
        <v>0.3</v>
      </c>
      <c r="DB864" s="35">
        <v>0.23</v>
      </c>
      <c r="DC864" s="35" t="s">
        <v>730</v>
      </c>
      <c r="FA864" s="35" t="s">
        <v>872</v>
      </c>
      <c r="FC864" s="35">
        <v>41</v>
      </c>
    </row>
    <row r="865" spans="1:159" s="35" customFormat="1" x14ac:dyDescent="0.25">
      <c r="A865" s="35">
        <v>41</v>
      </c>
      <c r="B865" s="35" t="s">
        <v>717</v>
      </c>
      <c r="C865" s="35" t="s">
        <v>718</v>
      </c>
      <c r="D865" s="35">
        <v>1994</v>
      </c>
      <c r="E865" s="35">
        <v>1987</v>
      </c>
      <c r="F865" s="35" t="s">
        <v>524</v>
      </c>
      <c r="G865" s="35" t="s">
        <v>720</v>
      </c>
      <c r="H865" s="35">
        <v>38.03</v>
      </c>
      <c r="I865" s="35">
        <v>-84.51</v>
      </c>
      <c r="J865" s="35">
        <v>299.60000000000002</v>
      </c>
      <c r="P865" s="54" t="s">
        <v>181</v>
      </c>
      <c r="Q865" s="54"/>
      <c r="R865" s="54" t="s">
        <v>284</v>
      </c>
      <c r="S865" s="54" t="s">
        <v>1644</v>
      </c>
      <c r="T865" s="54" t="s">
        <v>1644</v>
      </c>
      <c r="U865" s="35">
        <v>1.05</v>
      </c>
      <c r="V865" s="35">
        <v>7.3</v>
      </c>
      <c r="W865" s="35">
        <v>70.2</v>
      </c>
      <c r="X865" s="35" t="s">
        <v>168</v>
      </c>
      <c r="Y865" s="35">
        <v>5.48</v>
      </c>
      <c r="Z865" s="35">
        <v>1.1599999999999999</v>
      </c>
      <c r="AB865" s="35" t="s">
        <v>1574</v>
      </c>
      <c r="AC865" s="35" t="s">
        <v>301</v>
      </c>
      <c r="AD865" s="153" t="str">
        <f t="shared" si="226"/>
        <v>Vetch</v>
      </c>
      <c r="AE865" s="35" t="s">
        <v>167</v>
      </c>
      <c r="AP865" s="35" t="s">
        <v>154</v>
      </c>
      <c r="AQ865" s="35">
        <v>2</v>
      </c>
      <c r="AR865" s="35">
        <v>2</v>
      </c>
      <c r="AS865" s="35" t="s">
        <v>177</v>
      </c>
      <c r="AW865" s="63"/>
      <c r="DA865" s="35">
        <v>0.36499999999999999</v>
      </c>
      <c r="DB865" s="35">
        <v>0.17799999999999999</v>
      </c>
      <c r="DC865" s="35" t="s">
        <v>730</v>
      </c>
      <c r="FA865" s="35" t="s">
        <v>872</v>
      </c>
      <c r="FC865" s="35">
        <v>41</v>
      </c>
    </row>
    <row r="866" spans="1:159" s="35" customFormat="1" x14ac:dyDescent="0.25">
      <c r="A866" s="35">
        <v>41</v>
      </c>
      <c r="B866" s="35" t="s">
        <v>717</v>
      </c>
      <c r="C866" s="35" t="s">
        <v>718</v>
      </c>
      <c r="D866" s="35">
        <v>1994</v>
      </c>
      <c r="E866" s="35">
        <v>1987</v>
      </c>
      <c r="F866" s="35" t="s">
        <v>524</v>
      </c>
      <c r="G866" s="35" t="s">
        <v>720</v>
      </c>
      <c r="H866" s="35">
        <v>38.03</v>
      </c>
      <c r="I866" s="35">
        <v>-84.51</v>
      </c>
      <c r="J866" s="35">
        <v>299.60000000000002</v>
      </c>
      <c r="P866" s="54" t="s">
        <v>181</v>
      </c>
      <c r="Q866" s="54"/>
      <c r="R866" s="54" t="s">
        <v>723</v>
      </c>
      <c r="S866" s="54" t="s">
        <v>1644</v>
      </c>
      <c r="T866" s="54" t="s">
        <v>1644</v>
      </c>
      <c r="U866" s="35">
        <v>1.05</v>
      </c>
      <c r="V866" s="35">
        <v>7.3</v>
      </c>
      <c r="W866" s="35">
        <v>70.2</v>
      </c>
      <c r="X866" s="35" t="s">
        <v>168</v>
      </c>
      <c r="Y866" s="35">
        <v>5.48</v>
      </c>
      <c r="Z866" s="35">
        <v>1.1599999999999999</v>
      </c>
      <c r="AB866" s="35" t="s">
        <v>1574</v>
      </c>
      <c r="AC866" s="35" t="s">
        <v>301</v>
      </c>
      <c r="AD866" s="153" t="str">
        <f t="shared" si="226"/>
        <v>Vetch</v>
      </c>
      <c r="AE866" s="35" t="s">
        <v>167</v>
      </c>
      <c r="AP866" s="35" t="s">
        <v>154</v>
      </c>
      <c r="AQ866" s="35">
        <v>2</v>
      </c>
      <c r="AR866" s="35">
        <v>2</v>
      </c>
      <c r="AS866" s="35" t="s">
        <v>177</v>
      </c>
      <c r="AW866" s="63"/>
      <c r="DA866" s="35">
        <v>0.4</v>
      </c>
      <c r="DB866" s="35">
        <v>0.16</v>
      </c>
      <c r="DC866" s="35" t="s">
        <v>730</v>
      </c>
      <c r="FA866" s="35" t="s">
        <v>872</v>
      </c>
      <c r="FC866" s="35">
        <v>41</v>
      </c>
    </row>
    <row r="867" spans="1:159" s="35" customFormat="1" x14ac:dyDescent="0.25">
      <c r="A867" s="35">
        <v>41</v>
      </c>
      <c r="B867" s="35" t="s">
        <v>717</v>
      </c>
      <c r="C867" s="35" t="s">
        <v>718</v>
      </c>
      <c r="D867" s="35">
        <v>1994</v>
      </c>
      <c r="E867" s="35">
        <v>1987</v>
      </c>
      <c r="F867" s="35" t="s">
        <v>524</v>
      </c>
      <c r="G867" s="35" t="s">
        <v>720</v>
      </c>
      <c r="H867" s="35">
        <v>38.03</v>
      </c>
      <c r="I867" s="35">
        <v>-84.51</v>
      </c>
      <c r="J867" s="35">
        <v>299.60000000000002</v>
      </c>
      <c r="P867" s="54" t="s">
        <v>181</v>
      </c>
      <c r="Q867" s="54"/>
      <c r="R867" s="54" t="s">
        <v>727</v>
      </c>
      <c r="S867" s="54" t="s">
        <v>1644</v>
      </c>
      <c r="T867" s="54" t="s">
        <v>1644</v>
      </c>
      <c r="U867" s="35">
        <v>1.05</v>
      </c>
      <c r="V867" s="35">
        <v>7.3</v>
      </c>
      <c r="W867" s="35">
        <v>70.2</v>
      </c>
      <c r="X867" s="35" t="s">
        <v>168</v>
      </c>
      <c r="Y867" s="35">
        <v>5.48</v>
      </c>
      <c r="Z867" s="35">
        <v>1.1599999999999999</v>
      </c>
      <c r="AB867" s="35" t="s">
        <v>1574</v>
      </c>
      <c r="AC867" s="35" t="s">
        <v>301</v>
      </c>
      <c r="AD867" s="153" t="str">
        <f t="shared" si="226"/>
        <v>Vetch</v>
      </c>
      <c r="AE867" s="35" t="s">
        <v>167</v>
      </c>
      <c r="AP867" s="35" t="s">
        <v>154</v>
      </c>
      <c r="AQ867" s="35">
        <v>2</v>
      </c>
      <c r="AR867" s="35">
        <v>2</v>
      </c>
      <c r="AS867" s="35" t="s">
        <v>177</v>
      </c>
      <c r="AW867" s="63"/>
      <c r="DA867" s="35">
        <v>0.45</v>
      </c>
      <c r="DB867" s="35">
        <v>0.156</v>
      </c>
      <c r="DC867" s="35" t="s">
        <v>730</v>
      </c>
      <c r="FA867" s="35" t="s">
        <v>872</v>
      </c>
      <c r="FC867" s="35">
        <v>41</v>
      </c>
    </row>
    <row r="868" spans="1:159" s="35" customFormat="1" x14ac:dyDescent="0.25">
      <c r="A868" s="35">
        <v>41</v>
      </c>
      <c r="B868" s="35" t="s">
        <v>717</v>
      </c>
      <c r="C868" s="35" t="s">
        <v>718</v>
      </c>
      <c r="D868" s="35">
        <v>1994</v>
      </c>
      <c r="E868" s="35">
        <v>1987</v>
      </c>
      <c r="F868" s="35" t="s">
        <v>524</v>
      </c>
      <c r="G868" s="35" t="s">
        <v>720</v>
      </c>
      <c r="H868" s="35">
        <v>38.03</v>
      </c>
      <c r="I868" s="35">
        <v>-84.51</v>
      </c>
      <c r="J868" s="35">
        <v>299.60000000000002</v>
      </c>
      <c r="P868" s="54" t="s">
        <v>181</v>
      </c>
      <c r="Q868" s="54"/>
      <c r="R868" s="54" t="s">
        <v>637</v>
      </c>
      <c r="S868" s="54" t="s">
        <v>1644</v>
      </c>
      <c r="T868" s="54" t="s">
        <v>1644</v>
      </c>
      <c r="U868" s="35">
        <v>1.05</v>
      </c>
      <c r="V868" s="35">
        <v>7.3</v>
      </c>
      <c r="W868" s="35">
        <v>70.2</v>
      </c>
      <c r="X868" s="35" t="s">
        <v>168</v>
      </c>
      <c r="Y868" s="35">
        <v>5.48</v>
      </c>
      <c r="Z868" s="35">
        <v>1.1599999999999999</v>
      </c>
      <c r="AB868" s="35" t="s">
        <v>1574</v>
      </c>
      <c r="AC868" s="35" t="s">
        <v>301</v>
      </c>
      <c r="AD868" s="153" t="str">
        <f t="shared" si="226"/>
        <v>Vetch</v>
      </c>
      <c r="AE868" s="35" t="s">
        <v>167</v>
      </c>
      <c r="AP868" s="35" t="s">
        <v>154</v>
      </c>
      <c r="AQ868" s="35">
        <v>2</v>
      </c>
      <c r="AR868" s="35">
        <v>2</v>
      </c>
      <c r="AS868" s="35" t="s">
        <v>177</v>
      </c>
      <c r="AW868" s="63"/>
      <c r="DA868" s="35">
        <v>0.49</v>
      </c>
      <c r="DB868" s="35">
        <v>0.21</v>
      </c>
      <c r="DC868" s="35" t="s">
        <v>730</v>
      </c>
      <c r="FA868" s="35" t="s">
        <v>872</v>
      </c>
      <c r="FC868" s="35">
        <v>41</v>
      </c>
    </row>
    <row r="869" spans="1:159" s="35" customFormat="1" x14ac:dyDescent="0.25">
      <c r="A869" s="35">
        <v>41</v>
      </c>
      <c r="B869" s="35" t="s">
        <v>717</v>
      </c>
      <c r="C869" s="35" t="s">
        <v>718</v>
      </c>
      <c r="D869" s="35">
        <v>1994</v>
      </c>
      <c r="E869" s="35">
        <v>1987</v>
      </c>
      <c r="F869" s="35" t="s">
        <v>524</v>
      </c>
      <c r="G869" s="35" t="s">
        <v>720</v>
      </c>
      <c r="H869" s="35">
        <v>38.03</v>
      </c>
      <c r="I869" s="35">
        <v>-84.51</v>
      </c>
      <c r="J869" s="35">
        <v>299.60000000000002</v>
      </c>
      <c r="P869" s="54" t="s">
        <v>181</v>
      </c>
      <c r="Q869" s="54"/>
      <c r="R869" s="54" t="s">
        <v>725</v>
      </c>
      <c r="S869" s="54" t="s">
        <v>1644</v>
      </c>
      <c r="T869" s="54" t="s">
        <v>1644</v>
      </c>
      <c r="U869" s="35">
        <v>1.05</v>
      </c>
      <c r="V869" s="35">
        <v>7.3</v>
      </c>
      <c r="W869" s="35">
        <v>70.2</v>
      </c>
      <c r="X869" s="35" t="s">
        <v>168</v>
      </c>
      <c r="Y869" s="35">
        <v>5.48</v>
      </c>
      <c r="Z869" s="35">
        <v>1.1599999999999999</v>
      </c>
      <c r="AB869" s="35" t="s">
        <v>1574</v>
      </c>
      <c r="AC869" s="35" t="s">
        <v>301</v>
      </c>
      <c r="AD869" s="153" t="str">
        <f t="shared" si="226"/>
        <v>Vetch</v>
      </c>
      <c r="AE869" s="35" t="s">
        <v>167</v>
      </c>
      <c r="AP869" s="35" t="s">
        <v>154</v>
      </c>
      <c r="AQ869" s="35">
        <v>2</v>
      </c>
      <c r="AR869" s="35">
        <v>2</v>
      </c>
      <c r="AS869" s="35" t="s">
        <v>177</v>
      </c>
      <c r="AW869" s="63"/>
      <c r="DA869" s="35">
        <v>0.438</v>
      </c>
      <c r="DB869" s="35">
        <v>0.218</v>
      </c>
      <c r="DC869" s="35" t="s">
        <v>730</v>
      </c>
      <c r="FA869" s="35" t="s">
        <v>872</v>
      </c>
      <c r="FC869" s="35">
        <v>41</v>
      </c>
    </row>
    <row r="870" spans="1:159" s="26" customFormat="1" x14ac:dyDescent="0.25">
      <c r="A870" s="26">
        <v>41</v>
      </c>
      <c r="B870" s="26" t="s">
        <v>717</v>
      </c>
      <c r="C870" s="26" t="s">
        <v>718</v>
      </c>
      <c r="D870" s="26">
        <v>1994</v>
      </c>
      <c r="E870" s="26">
        <v>1988</v>
      </c>
      <c r="F870" s="26" t="s">
        <v>524</v>
      </c>
      <c r="G870" s="26" t="s">
        <v>720</v>
      </c>
      <c r="H870" s="26">
        <v>38.03</v>
      </c>
      <c r="I870" s="26">
        <v>-84.51</v>
      </c>
      <c r="J870" s="26">
        <v>299.60000000000002</v>
      </c>
      <c r="P870" s="52" t="s">
        <v>182</v>
      </c>
      <c r="Q870" s="52"/>
      <c r="R870" s="52" t="s">
        <v>728</v>
      </c>
      <c r="S870" s="52" t="s">
        <v>1644</v>
      </c>
      <c r="T870" s="52" t="s">
        <v>1644</v>
      </c>
      <c r="U870" s="26">
        <v>1.05</v>
      </c>
      <c r="V870" s="26">
        <v>7.3</v>
      </c>
      <c r="W870" s="26">
        <v>70.2</v>
      </c>
      <c r="X870" s="26" t="s">
        <v>168</v>
      </c>
      <c r="Y870" s="26">
        <v>5.48</v>
      </c>
      <c r="Z870" s="26">
        <v>1.1599999999999999</v>
      </c>
      <c r="AB870" s="26" t="s">
        <v>1574</v>
      </c>
      <c r="AC870" s="26" t="s">
        <v>301</v>
      </c>
      <c r="AD870" s="153" t="str">
        <f t="shared" si="226"/>
        <v>Vetch</v>
      </c>
      <c r="AE870" s="26" t="s">
        <v>167</v>
      </c>
      <c r="AP870" s="26" t="s">
        <v>154</v>
      </c>
      <c r="AQ870" s="26">
        <v>2</v>
      </c>
      <c r="AR870" s="26">
        <v>2</v>
      </c>
      <c r="AS870" s="26" t="s">
        <v>177</v>
      </c>
      <c r="AW870" s="63"/>
      <c r="DA870" s="26">
        <v>0.16300000000000001</v>
      </c>
      <c r="DB870" s="26">
        <v>3.5000000000000003E-2</v>
      </c>
      <c r="DC870" s="26" t="s">
        <v>730</v>
      </c>
      <c r="FA870" s="26" t="s">
        <v>872</v>
      </c>
      <c r="FC870" s="26">
        <v>41</v>
      </c>
    </row>
    <row r="871" spans="1:159" s="26" customFormat="1" x14ac:dyDescent="0.25">
      <c r="A871" s="26">
        <v>41</v>
      </c>
      <c r="B871" s="26" t="s">
        <v>717</v>
      </c>
      <c r="C871" s="26" t="s">
        <v>718</v>
      </c>
      <c r="D871" s="26">
        <v>1994</v>
      </c>
      <c r="E871" s="26">
        <v>1988</v>
      </c>
      <c r="F871" s="26" t="s">
        <v>524</v>
      </c>
      <c r="G871" s="26" t="s">
        <v>720</v>
      </c>
      <c r="H871" s="26">
        <v>38.03</v>
      </c>
      <c r="I871" s="26">
        <v>-84.51</v>
      </c>
      <c r="J871" s="26">
        <v>299.60000000000002</v>
      </c>
      <c r="P871" s="52" t="s">
        <v>182</v>
      </c>
      <c r="Q871" s="52"/>
      <c r="R871" s="52" t="s">
        <v>729</v>
      </c>
      <c r="S871" s="52" t="s">
        <v>1644</v>
      </c>
      <c r="T871" s="52" t="s">
        <v>1644</v>
      </c>
      <c r="U871" s="26">
        <v>1.05</v>
      </c>
      <c r="V871" s="26">
        <v>7.3</v>
      </c>
      <c r="W871" s="26">
        <v>70.2</v>
      </c>
      <c r="X871" s="26" t="s">
        <v>168</v>
      </c>
      <c r="Y871" s="26">
        <v>5.48</v>
      </c>
      <c r="Z871" s="26">
        <v>1.1599999999999999</v>
      </c>
      <c r="AB871" s="26" t="s">
        <v>1574</v>
      </c>
      <c r="AC871" s="26" t="s">
        <v>301</v>
      </c>
      <c r="AD871" s="153" t="str">
        <f t="shared" si="226"/>
        <v>Vetch</v>
      </c>
      <c r="AE871" s="26" t="s">
        <v>167</v>
      </c>
      <c r="AP871" s="26" t="s">
        <v>154</v>
      </c>
      <c r="AQ871" s="26">
        <v>2</v>
      </c>
      <c r="AR871" s="26">
        <v>2</v>
      </c>
      <c r="AS871" s="26" t="s">
        <v>177</v>
      </c>
      <c r="AW871" s="63"/>
      <c r="DA871" s="26">
        <v>0.2</v>
      </c>
      <c r="DB871" s="26">
        <v>0.113</v>
      </c>
      <c r="DC871" s="26" t="s">
        <v>730</v>
      </c>
      <c r="FA871" s="26" t="s">
        <v>872</v>
      </c>
      <c r="FC871" s="26">
        <v>41</v>
      </c>
    </row>
    <row r="872" spans="1:159" s="26" customFormat="1" x14ac:dyDescent="0.25">
      <c r="A872" s="26">
        <v>41</v>
      </c>
      <c r="B872" s="26" t="s">
        <v>717</v>
      </c>
      <c r="C872" s="26" t="s">
        <v>718</v>
      </c>
      <c r="D872" s="26">
        <v>1994</v>
      </c>
      <c r="E872" s="26">
        <v>1988</v>
      </c>
      <c r="F872" s="26" t="s">
        <v>524</v>
      </c>
      <c r="G872" s="26" t="s">
        <v>720</v>
      </c>
      <c r="H872" s="26">
        <v>38.03</v>
      </c>
      <c r="I872" s="26">
        <v>-84.51</v>
      </c>
      <c r="J872" s="26">
        <v>299.60000000000002</v>
      </c>
      <c r="P872" s="52" t="s">
        <v>182</v>
      </c>
      <c r="Q872" s="52"/>
      <c r="R872" s="52" t="s">
        <v>269</v>
      </c>
      <c r="S872" s="52" t="s">
        <v>1644</v>
      </c>
      <c r="T872" s="52" t="s">
        <v>1644</v>
      </c>
      <c r="U872" s="26">
        <v>1.05</v>
      </c>
      <c r="V872" s="26">
        <v>7.3</v>
      </c>
      <c r="W872" s="26">
        <v>70.2</v>
      </c>
      <c r="X872" s="26" t="s">
        <v>168</v>
      </c>
      <c r="Y872" s="26">
        <v>5.48</v>
      </c>
      <c r="Z872" s="26">
        <v>1.1599999999999999</v>
      </c>
      <c r="AB872" s="26" t="s">
        <v>1574</v>
      </c>
      <c r="AC872" s="26" t="s">
        <v>301</v>
      </c>
      <c r="AD872" s="153" t="str">
        <f t="shared" si="226"/>
        <v>Vetch</v>
      </c>
      <c r="AE872" s="26" t="s">
        <v>167</v>
      </c>
      <c r="AP872" s="26" t="s">
        <v>154</v>
      </c>
      <c r="AQ872" s="26">
        <v>2</v>
      </c>
      <c r="AR872" s="26">
        <v>2</v>
      </c>
      <c r="AS872" s="26" t="s">
        <v>177</v>
      </c>
      <c r="AW872" s="63"/>
      <c r="DA872" s="26">
        <v>0.21</v>
      </c>
      <c r="DB872" s="26">
        <v>0.15</v>
      </c>
      <c r="DC872" s="26" t="s">
        <v>730</v>
      </c>
      <c r="FA872" s="26" t="s">
        <v>872</v>
      </c>
      <c r="FC872" s="26">
        <v>41</v>
      </c>
    </row>
    <row r="873" spans="1:159" s="26" customFormat="1" x14ac:dyDescent="0.25">
      <c r="A873" s="26">
        <v>41</v>
      </c>
      <c r="B873" s="26" t="s">
        <v>717</v>
      </c>
      <c r="C873" s="26" t="s">
        <v>718</v>
      </c>
      <c r="D873" s="26">
        <v>1994</v>
      </c>
      <c r="E873" s="26">
        <v>1988</v>
      </c>
      <c r="F873" s="26" t="s">
        <v>524</v>
      </c>
      <c r="G873" s="26" t="s">
        <v>720</v>
      </c>
      <c r="H873" s="26">
        <v>38.03</v>
      </c>
      <c r="I873" s="26">
        <v>-84.51</v>
      </c>
      <c r="J873" s="26">
        <v>299.60000000000002</v>
      </c>
      <c r="P873" s="52" t="s">
        <v>182</v>
      </c>
      <c r="Q873" s="52"/>
      <c r="R873" s="52" t="s">
        <v>726</v>
      </c>
      <c r="S873" s="52" t="s">
        <v>1644</v>
      </c>
      <c r="T873" s="52" t="s">
        <v>1644</v>
      </c>
      <c r="U873" s="26">
        <v>1.05</v>
      </c>
      <c r="V873" s="26">
        <v>7.3</v>
      </c>
      <c r="W873" s="26">
        <v>70.2</v>
      </c>
      <c r="X873" s="26" t="s">
        <v>168</v>
      </c>
      <c r="Y873" s="26">
        <v>5.48</v>
      </c>
      <c r="Z873" s="26">
        <v>1.1599999999999999</v>
      </c>
      <c r="AB873" s="26" t="s">
        <v>1574</v>
      </c>
      <c r="AC873" s="26" t="s">
        <v>301</v>
      </c>
      <c r="AD873" s="153" t="str">
        <f t="shared" si="226"/>
        <v>Vetch</v>
      </c>
      <c r="AE873" s="26" t="s">
        <v>167</v>
      </c>
      <c r="AP873" s="26" t="s">
        <v>154</v>
      </c>
      <c r="AQ873" s="26">
        <v>2</v>
      </c>
      <c r="AR873" s="26">
        <v>2</v>
      </c>
      <c r="AS873" s="26" t="s">
        <v>177</v>
      </c>
      <c r="AW873" s="63"/>
      <c r="DA873" s="26">
        <v>0.3</v>
      </c>
      <c r="DB873" s="26">
        <v>0.19</v>
      </c>
      <c r="DC873" s="26" t="s">
        <v>730</v>
      </c>
      <c r="FA873" s="26" t="s">
        <v>872</v>
      </c>
      <c r="FC873" s="26">
        <v>41</v>
      </c>
    </row>
    <row r="874" spans="1:159" s="26" customFormat="1" x14ac:dyDescent="0.25">
      <c r="A874" s="26">
        <v>41</v>
      </c>
      <c r="B874" s="26" t="s">
        <v>717</v>
      </c>
      <c r="C874" s="26" t="s">
        <v>718</v>
      </c>
      <c r="D874" s="26">
        <v>1994</v>
      </c>
      <c r="E874" s="26">
        <v>1988</v>
      </c>
      <c r="F874" s="26" t="s">
        <v>524</v>
      </c>
      <c r="G874" s="26" t="s">
        <v>720</v>
      </c>
      <c r="H874" s="26">
        <v>38.03</v>
      </c>
      <c r="I874" s="26">
        <v>-84.51</v>
      </c>
      <c r="J874" s="26">
        <v>299.60000000000002</v>
      </c>
      <c r="P874" s="52" t="s">
        <v>182</v>
      </c>
      <c r="Q874" s="52"/>
      <c r="R874" s="52" t="s">
        <v>257</v>
      </c>
      <c r="S874" s="52" t="s">
        <v>1644</v>
      </c>
      <c r="T874" s="52" t="s">
        <v>1644</v>
      </c>
      <c r="U874" s="26">
        <v>1.05</v>
      </c>
      <c r="V874" s="26">
        <v>7.3</v>
      </c>
      <c r="W874" s="26">
        <v>70.2</v>
      </c>
      <c r="X874" s="26" t="s">
        <v>168</v>
      </c>
      <c r="Y874" s="26">
        <v>5.48</v>
      </c>
      <c r="Z874" s="26">
        <v>1.1599999999999999</v>
      </c>
      <c r="AB874" s="26" t="s">
        <v>1574</v>
      </c>
      <c r="AC874" s="26" t="s">
        <v>301</v>
      </c>
      <c r="AD874" s="153" t="str">
        <f t="shared" si="226"/>
        <v>Vetch</v>
      </c>
      <c r="AE874" s="26" t="s">
        <v>167</v>
      </c>
      <c r="AP874" s="26" t="s">
        <v>154</v>
      </c>
      <c r="AQ874" s="26">
        <v>2</v>
      </c>
      <c r="AR874" s="26">
        <v>2</v>
      </c>
      <c r="AS874" s="26" t="s">
        <v>177</v>
      </c>
      <c r="AW874" s="63"/>
      <c r="DA874" s="26">
        <v>0.33150000000000002</v>
      </c>
      <c r="DB874" s="26">
        <v>0.22</v>
      </c>
      <c r="DC874" s="26" t="s">
        <v>730</v>
      </c>
      <c r="FA874" s="26" t="s">
        <v>872</v>
      </c>
      <c r="FC874" s="26">
        <v>41</v>
      </c>
    </row>
    <row r="875" spans="1:159" s="26" customFormat="1" x14ac:dyDescent="0.25">
      <c r="A875" s="26">
        <v>41</v>
      </c>
      <c r="B875" s="26" t="s">
        <v>717</v>
      </c>
      <c r="C875" s="26" t="s">
        <v>718</v>
      </c>
      <c r="D875" s="26">
        <v>1994</v>
      </c>
      <c r="E875" s="26">
        <v>1988</v>
      </c>
      <c r="F875" s="26" t="s">
        <v>524</v>
      </c>
      <c r="G875" s="26" t="s">
        <v>720</v>
      </c>
      <c r="H875" s="26">
        <v>38.03</v>
      </c>
      <c r="I875" s="26">
        <v>-84.51</v>
      </c>
      <c r="J875" s="26">
        <v>299.60000000000002</v>
      </c>
      <c r="P875" s="52" t="s">
        <v>182</v>
      </c>
      <c r="Q875" s="52"/>
      <c r="R875" s="52" t="s">
        <v>722</v>
      </c>
      <c r="S875" s="52" t="s">
        <v>1644</v>
      </c>
      <c r="T875" s="52" t="s">
        <v>1644</v>
      </c>
      <c r="U875" s="26">
        <v>1.05</v>
      </c>
      <c r="V875" s="26">
        <v>7.3</v>
      </c>
      <c r="W875" s="26">
        <v>70.2</v>
      </c>
      <c r="X875" s="26" t="s">
        <v>168</v>
      </c>
      <c r="Y875" s="26">
        <v>5.48</v>
      </c>
      <c r="Z875" s="26">
        <v>1.1599999999999999</v>
      </c>
      <c r="AB875" s="26" t="s">
        <v>1574</v>
      </c>
      <c r="AC875" s="26" t="s">
        <v>301</v>
      </c>
      <c r="AD875" s="153" t="str">
        <f t="shared" si="226"/>
        <v>Vetch</v>
      </c>
      <c r="AE875" s="26" t="s">
        <v>167</v>
      </c>
      <c r="AP875" s="26" t="s">
        <v>154</v>
      </c>
      <c r="AQ875" s="26">
        <v>2</v>
      </c>
      <c r="AR875" s="26">
        <v>2</v>
      </c>
      <c r="AS875" s="26" t="s">
        <v>177</v>
      </c>
      <c r="AW875" s="63"/>
      <c r="DA875" s="26">
        <v>0.34799999999999998</v>
      </c>
      <c r="DB875" s="26">
        <v>0.25</v>
      </c>
      <c r="DC875" s="26" t="s">
        <v>730</v>
      </c>
      <c r="FA875" s="26" t="s">
        <v>872</v>
      </c>
      <c r="FC875" s="26">
        <v>41</v>
      </c>
    </row>
    <row r="876" spans="1:159" s="26" customFormat="1" x14ac:dyDescent="0.25">
      <c r="A876" s="26">
        <v>41</v>
      </c>
      <c r="B876" s="26" t="s">
        <v>717</v>
      </c>
      <c r="C876" s="26" t="s">
        <v>718</v>
      </c>
      <c r="D876" s="26">
        <v>1994</v>
      </c>
      <c r="E876" s="26">
        <v>1988</v>
      </c>
      <c r="F876" s="26" t="s">
        <v>524</v>
      </c>
      <c r="G876" s="26" t="s">
        <v>720</v>
      </c>
      <c r="H876" s="26">
        <v>38.03</v>
      </c>
      <c r="I876" s="26">
        <v>-84.51</v>
      </c>
      <c r="J876" s="26">
        <v>299.60000000000002</v>
      </c>
      <c r="P876" s="52" t="s">
        <v>182</v>
      </c>
      <c r="Q876" s="52"/>
      <c r="R876" s="52" t="s">
        <v>284</v>
      </c>
      <c r="S876" s="52" t="s">
        <v>1644</v>
      </c>
      <c r="T876" s="52" t="s">
        <v>1644</v>
      </c>
      <c r="U876" s="26">
        <v>1.05</v>
      </c>
      <c r="V876" s="26">
        <v>7.3</v>
      </c>
      <c r="W876" s="26">
        <v>70.2</v>
      </c>
      <c r="X876" s="26" t="s">
        <v>168</v>
      </c>
      <c r="Y876" s="26">
        <v>5.48</v>
      </c>
      <c r="Z876" s="26">
        <v>1.1599999999999999</v>
      </c>
      <c r="AB876" s="26" t="s">
        <v>1574</v>
      </c>
      <c r="AC876" s="26" t="s">
        <v>301</v>
      </c>
      <c r="AD876" s="153" t="str">
        <f t="shared" si="226"/>
        <v>Vetch</v>
      </c>
      <c r="AE876" s="26" t="s">
        <v>167</v>
      </c>
      <c r="AP876" s="26" t="s">
        <v>154</v>
      </c>
      <c r="AQ876" s="26">
        <v>2</v>
      </c>
      <c r="AR876" s="26">
        <v>2</v>
      </c>
      <c r="AS876" s="26" t="s">
        <v>177</v>
      </c>
      <c r="AW876" s="63"/>
      <c r="DA876" s="26">
        <v>0.36</v>
      </c>
      <c r="DB876" s="26">
        <v>0.24</v>
      </c>
      <c r="DC876" s="26" t="s">
        <v>730</v>
      </c>
      <c r="FA876" s="26" t="s">
        <v>872</v>
      </c>
      <c r="FC876" s="26">
        <v>41</v>
      </c>
    </row>
    <row r="877" spans="1:159" s="26" customFormat="1" x14ac:dyDescent="0.25">
      <c r="A877" s="26">
        <v>41</v>
      </c>
      <c r="B877" s="26" t="s">
        <v>717</v>
      </c>
      <c r="C877" s="26" t="s">
        <v>718</v>
      </c>
      <c r="D877" s="26">
        <v>1994</v>
      </c>
      <c r="E877" s="26">
        <v>1988</v>
      </c>
      <c r="F877" s="26" t="s">
        <v>524</v>
      </c>
      <c r="G877" s="26" t="s">
        <v>720</v>
      </c>
      <c r="H877" s="26">
        <v>38.03</v>
      </c>
      <c r="I877" s="26">
        <v>-84.51</v>
      </c>
      <c r="J877" s="26">
        <v>299.60000000000002</v>
      </c>
      <c r="P877" s="52" t="s">
        <v>182</v>
      </c>
      <c r="Q877" s="52"/>
      <c r="R877" s="52" t="s">
        <v>285</v>
      </c>
      <c r="S877" s="52" t="s">
        <v>1644</v>
      </c>
      <c r="T877" s="52" t="s">
        <v>1644</v>
      </c>
      <c r="U877" s="26">
        <v>1.05</v>
      </c>
      <c r="V877" s="26">
        <v>7.3</v>
      </c>
      <c r="W877" s="26">
        <v>70.2</v>
      </c>
      <c r="X877" s="26" t="s">
        <v>168</v>
      </c>
      <c r="Y877" s="26">
        <v>5.48</v>
      </c>
      <c r="Z877" s="26">
        <v>1.1599999999999999</v>
      </c>
      <c r="AB877" s="26" t="s">
        <v>1574</v>
      </c>
      <c r="AC877" s="26" t="s">
        <v>301</v>
      </c>
      <c r="AD877" s="153" t="str">
        <f t="shared" si="226"/>
        <v>Vetch</v>
      </c>
      <c r="AE877" s="26" t="s">
        <v>167</v>
      </c>
      <c r="AP877" s="26" t="s">
        <v>154</v>
      </c>
      <c r="AQ877" s="26">
        <v>2</v>
      </c>
      <c r="AR877" s="26">
        <v>2</v>
      </c>
      <c r="AS877" s="26" t="s">
        <v>177</v>
      </c>
      <c r="AW877" s="63"/>
      <c r="DA877" s="26">
        <v>0.37</v>
      </c>
      <c r="DB877" s="26">
        <v>0.22</v>
      </c>
      <c r="DC877" s="26" t="s">
        <v>730</v>
      </c>
      <c r="FA877" s="26" t="s">
        <v>872</v>
      </c>
      <c r="FC877" s="26">
        <v>41</v>
      </c>
    </row>
    <row r="878" spans="1:159" s="26" customFormat="1" x14ac:dyDescent="0.25">
      <c r="A878" s="26">
        <v>41</v>
      </c>
      <c r="B878" s="26" t="s">
        <v>717</v>
      </c>
      <c r="C878" s="26" t="s">
        <v>718</v>
      </c>
      <c r="D878" s="26">
        <v>1994</v>
      </c>
      <c r="E878" s="26">
        <v>1988</v>
      </c>
      <c r="F878" s="26" t="s">
        <v>524</v>
      </c>
      <c r="G878" s="26" t="s">
        <v>720</v>
      </c>
      <c r="H878" s="26">
        <v>38.03</v>
      </c>
      <c r="I878" s="26">
        <v>-84.51</v>
      </c>
      <c r="J878" s="26">
        <v>299.60000000000002</v>
      </c>
      <c r="P878" s="52" t="s">
        <v>182</v>
      </c>
      <c r="Q878" s="52"/>
      <c r="R878" s="52" t="s">
        <v>286</v>
      </c>
      <c r="S878" s="52" t="s">
        <v>1644</v>
      </c>
      <c r="T878" s="52" t="s">
        <v>1644</v>
      </c>
      <c r="U878" s="26">
        <v>1.05</v>
      </c>
      <c r="V878" s="26">
        <v>7.3</v>
      </c>
      <c r="W878" s="26">
        <v>70.2</v>
      </c>
      <c r="X878" s="26" t="s">
        <v>168</v>
      </c>
      <c r="Y878" s="26">
        <v>5.48</v>
      </c>
      <c r="Z878" s="26">
        <v>1.1599999999999999</v>
      </c>
      <c r="AB878" s="26" t="s">
        <v>1574</v>
      </c>
      <c r="AC878" s="26" t="s">
        <v>301</v>
      </c>
      <c r="AD878" s="153" t="str">
        <f t="shared" si="226"/>
        <v>Vetch</v>
      </c>
      <c r="AE878" s="26" t="s">
        <v>167</v>
      </c>
      <c r="AP878" s="26" t="s">
        <v>154</v>
      </c>
      <c r="AQ878" s="26">
        <v>2</v>
      </c>
      <c r="AR878" s="26">
        <v>2</v>
      </c>
      <c r="AS878" s="26" t="s">
        <v>177</v>
      </c>
      <c r="AW878" s="63"/>
      <c r="DA878" s="26">
        <v>0.41199999999999998</v>
      </c>
      <c r="DB878" s="26">
        <v>0.187</v>
      </c>
      <c r="DC878" s="26" t="s">
        <v>730</v>
      </c>
      <c r="FA878" s="26" t="s">
        <v>872</v>
      </c>
      <c r="FC878" s="26">
        <v>41</v>
      </c>
    </row>
    <row r="879" spans="1:159" s="26" customFormat="1" x14ac:dyDescent="0.25">
      <c r="A879" s="26">
        <v>41</v>
      </c>
      <c r="B879" s="26" t="s">
        <v>717</v>
      </c>
      <c r="C879" s="26" t="s">
        <v>718</v>
      </c>
      <c r="D879" s="26">
        <v>1994</v>
      </c>
      <c r="E879" s="26">
        <v>1988</v>
      </c>
      <c r="F879" s="26" t="s">
        <v>524</v>
      </c>
      <c r="G879" s="26" t="s">
        <v>720</v>
      </c>
      <c r="H879" s="26">
        <v>38.03</v>
      </c>
      <c r="I879" s="26">
        <v>-84.51</v>
      </c>
      <c r="J879" s="26">
        <v>299.60000000000002</v>
      </c>
      <c r="P879" s="52" t="s">
        <v>182</v>
      </c>
      <c r="Q879" s="52"/>
      <c r="R879" s="52" t="s">
        <v>724</v>
      </c>
      <c r="S879" s="52" t="s">
        <v>1644</v>
      </c>
      <c r="T879" s="52" t="s">
        <v>1644</v>
      </c>
      <c r="U879" s="26">
        <v>1.05</v>
      </c>
      <c r="V879" s="26">
        <v>7.3</v>
      </c>
      <c r="W879" s="26">
        <v>70.2</v>
      </c>
      <c r="X879" s="26" t="s">
        <v>168</v>
      </c>
      <c r="Y879" s="26">
        <v>5.48</v>
      </c>
      <c r="Z879" s="26">
        <v>1.1599999999999999</v>
      </c>
      <c r="AB879" s="26" t="s">
        <v>1574</v>
      </c>
      <c r="AC879" s="26" t="s">
        <v>301</v>
      </c>
      <c r="AD879" s="153" t="str">
        <f t="shared" si="226"/>
        <v>Vetch</v>
      </c>
      <c r="AE879" s="26" t="s">
        <v>167</v>
      </c>
      <c r="AP879" s="26" t="s">
        <v>154</v>
      </c>
      <c r="AQ879" s="26">
        <v>2</v>
      </c>
      <c r="AR879" s="26">
        <v>2</v>
      </c>
      <c r="AS879" s="26" t="s">
        <v>177</v>
      </c>
      <c r="AW879" s="63"/>
      <c r="DA879" s="26">
        <v>0.40960000000000002</v>
      </c>
      <c r="DB879" s="26">
        <v>0.215</v>
      </c>
      <c r="DC879" s="26" t="s">
        <v>730</v>
      </c>
      <c r="FA879" s="26" t="s">
        <v>872</v>
      </c>
      <c r="FC879" s="26">
        <v>41</v>
      </c>
    </row>
    <row r="880" spans="1:159" s="26" customFormat="1" x14ac:dyDescent="0.25">
      <c r="A880" s="26">
        <v>41</v>
      </c>
      <c r="B880" s="26" t="s">
        <v>717</v>
      </c>
      <c r="C880" s="26" t="s">
        <v>718</v>
      </c>
      <c r="D880" s="26">
        <v>1994</v>
      </c>
      <c r="E880" s="26">
        <v>1988</v>
      </c>
      <c r="F880" s="26" t="s">
        <v>524</v>
      </c>
      <c r="G880" s="26" t="s">
        <v>720</v>
      </c>
      <c r="H880" s="26">
        <v>38.03</v>
      </c>
      <c r="I880" s="26">
        <v>-84.51</v>
      </c>
      <c r="J880" s="26">
        <v>299.60000000000002</v>
      </c>
      <c r="P880" s="52" t="s">
        <v>182</v>
      </c>
      <c r="Q880" s="52"/>
      <c r="R880" s="52" t="s">
        <v>637</v>
      </c>
      <c r="S880" s="52" t="s">
        <v>1644</v>
      </c>
      <c r="T880" s="52" t="s">
        <v>1644</v>
      </c>
      <c r="U880" s="26">
        <v>1.05</v>
      </c>
      <c r="V880" s="26">
        <v>7.3</v>
      </c>
      <c r="W880" s="26">
        <v>70.2</v>
      </c>
      <c r="X880" s="26" t="s">
        <v>168</v>
      </c>
      <c r="Y880" s="26">
        <v>5.48</v>
      </c>
      <c r="Z880" s="26">
        <v>1.1599999999999999</v>
      </c>
      <c r="AB880" s="26" t="s">
        <v>1574</v>
      </c>
      <c r="AC880" s="26" t="s">
        <v>301</v>
      </c>
      <c r="AD880" s="153" t="str">
        <f t="shared" si="226"/>
        <v>Vetch</v>
      </c>
      <c r="AE880" s="26" t="s">
        <v>167</v>
      </c>
      <c r="AP880" s="26" t="s">
        <v>154</v>
      </c>
      <c r="AQ880" s="26">
        <v>2</v>
      </c>
      <c r="AR880" s="26">
        <v>2</v>
      </c>
      <c r="AS880" s="26" t="s">
        <v>177</v>
      </c>
      <c r="AW880" s="63"/>
      <c r="DA880" s="26">
        <v>0.41899999999999998</v>
      </c>
      <c r="DB880" s="26">
        <v>0.253</v>
      </c>
      <c r="DC880" s="26" t="s">
        <v>730</v>
      </c>
      <c r="FA880" s="26" t="s">
        <v>872</v>
      </c>
      <c r="FC880" s="26">
        <v>41</v>
      </c>
    </row>
    <row r="881" spans="1:159" s="26" customFormat="1" x14ac:dyDescent="0.25">
      <c r="A881" s="26">
        <v>41</v>
      </c>
      <c r="B881" s="26" t="s">
        <v>717</v>
      </c>
      <c r="C881" s="26" t="s">
        <v>718</v>
      </c>
      <c r="D881" s="26">
        <v>1994</v>
      </c>
      <c r="E881" s="26">
        <v>1988</v>
      </c>
      <c r="F881" s="26" t="s">
        <v>524</v>
      </c>
      <c r="G881" s="26" t="s">
        <v>720</v>
      </c>
      <c r="H881" s="26">
        <v>38.03</v>
      </c>
      <c r="I881" s="26">
        <v>-84.51</v>
      </c>
      <c r="J881" s="26">
        <v>299.60000000000002</v>
      </c>
      <c r="P881" s="52" t="s">
        <v>182</v>
      </c>
      <c r="Q881" s="52"/>
      <c r="R881" s="52" t="s">
        <v>725</v>
      </c>
      <c r="S881" s="52" t="s">
        <v>1644</v>
      </c>
      <c r="T881" s="52" t="s">
        <v>1644</v>
      </c>
      <c r="U881" s="26">
        <v>1.05</v>
      </c>
      <c r="V881" s="26">
        <v>7.3</v>
      </c>
      <c r="W881" s="26">
        <v>70.2</v>
      </c>
      <c r="X881" s="26" t="s">
        <v>168</v>
      </c>
      <c r="Y881" s="26">
        <v>5.48</v>
      </c>
      <c r="Z881" s="26">
        <v>1.1599999999999999</v>
      </c>
      <c r="AB881" s="26" t="s">
        <v>1574</v>
      </c>
      <c r="AC881" s="26" t="s">
        <v>301</v>
      </c>
      <c r="AD881" s="153" t="str">
        <f t="shared" si="226"/>
        <v>Vetch</v>
      </c>
      <c r="AE881" s="26" t="s">
        <v>167</v>
      </c>
      <c r="AP881" s="26" t="s">
        <v>154</v>
      </c>
      <c r="AQ881" s="26">
        <v>2</v>
      </c>
      <c r="AR881" s="26">
        <v>2</v>
      </c>
      <c r="AS881" s="26" t="s">
        <v>177</v>
      </c>
      <c r="AW881" s="63"/>
      <c r="DA881" s="26">
        <v>0.48299999999999998</v>
      </c>
      <c r="DB881" s="26">
        <v>0.40699999999999997</v>
      </c>
      <c r="DC881" s="26" t="s">
        <v>730</v>
      </c>
      <c r="FA881" s="26" t="s">
        <v>872</v>
      </c>
      <c r="FC881" s="26">
        <v>41</v>
      </c>
    </row>
    <row r="882" spans="1:159" s="35" customFormat="1" x14ac:dyDescent="0.25">
      <c r="A882" s="35">
        <v>41</v>
      </c>
      <c r="B882" s="35" t="s">
        <v>717</v>
      </c>
      <c r="C882" s="35" t="s">
        <v>718</v>
      </c>
      <c r="D882" s="35">
        <v>1994</v>
      </c>
      <c r="E882" s="35">
        <v>1989</v>
      </c>
      <c r="F882" s="35" t="s">
        <v>524</v>
      </c>
      <c r="G882" s="35" t="s">
        <v>720</v>
      </c>
      <c r="H882" s="35">
        <v>38.03</v>
      </c>
      <c r="I882" s="35">
        <v>-84.51</v>
      </c>
      <c r="J882" s="35">
        <v>299.60000000000002</v>
      </c>
      <c r="P882" s="54" t="s">
        <v>183</v>
      </c>
      <c r="Q882" s="54"/>
      <c r="R882" s="54" t="s">
        <v>728</v>
      </c>
      <c r="S882" s="54" t="s">
        <v>1644</v>
      </c>
      <c r="T882" s="54" t="s">
        <v>1644</v>
      </c>
      <c r="U882" s="35">
        <v>1.05</v>
      </c>
      <c r="V882" s="35">
        <v>7.3</v>
      </c>
      <c r="W882" s="35">
        <v>70.2</v>
      </c>
      <c r="X882" s="35" t="s">
        <v>168</v>
      </c>
      <c r="Y882" s="35">
        <v>5.48</v>
      </c>
      <c r="Z882" s="35">
        <v>1.1599999999999999</v>
      </c>
      <c r="AB882" s="35" t="s">
        <v>1574</v>
      </c>
      <c r="AC882" s="35" t="s">
        <v>301</v>
      </c>
      <c r="AD882" s="153" t="str">
        <f t="shared" si="226"/>
        <v>Vetch</v>
      </c>
      <c r="AE882" s="35" t="s">
        <v>167</v>
      </c>
      <c r="AP882" s="35" t="s">
        <v>154</v>
      </c>
      <c r="AQ882" s="35">
        <v>2</v>
      </c>
      <c r="AR882" s="35">
        <v>2</v>
      </c>
      <c r="AS882" s="35" t="s">
        <v>177</v>
      </c>
      <c r="AW882" s="63"/>
      <c r="DA882" s="35">
        <v>0.01</v>
      </c>
      <c r="DB882" s="35">
        <v>0.01</v>
      </c>
      <c r="DC882" s="35" t="s">
        <v>730</v>
      </c>
      <c r="FA882" s="35" t="s">
        <v>872</v>
      </c>
      <c r="FC882" s="35">
        <v>41</v>
      </c>
    </row>
    <row r="883" spans="1:159" s="35" customFormat="1" x14ac:dyDescent="0.25">
      <c r="A883" s="35">
        <v>41</v>
      </c>
      <c r="B883" s="35" t="s">
        <v>717</v>
      </c>
      <c r="C883" s="35" t="s">
        <v>718</v>
      </c>
      <c r="D883" s="35">
        <v>1994</v>
      </c>
      <c r="E883" s="35">
        <v>1989</v>
      </c>
      <c r="F883" s="35" t="s">
        <v>524</v>
      </c>
      <c r="G883" s="35" t="s">
        <v>720</v>
      </c>
      <c r="H883" s="35">
        <v>38.03</v>
      </c>
      <c r="I883" s="35">
        <v>-84.51</v>
      </c>
      <c r="J883" s="35">
        <v>299.60000000000002</v>
      </c>
      <c r="P883" s="54" t="s">
        <v>183</v>
      </c>
      <c r="Q883" s="54"/>
      <c r="R883" s="54" t="s">
        <v>729</v>
      </c>
      <c r="S883" s="54" t="s">
        <v>1644</v>
      </c>
      <c r="T883" s="54" t="s">
        <v>1644</v>
      </c>
      <c r="U883" s="35">
        <v>1.05</v>
      </c>
      <c r="V883" s="35">
        <v>7.3</v>
      </c>
      <c r="W883" s="35">
        <v>70.2</v>
      </c>
      <c r="X883" s="35" t="s">
        <v>168</v>
      </c>
      <c r="Y883" s="35">
        <v>5.48</v>
      </c>
      <c r="Z883" s="35">
        <v>1.1599999999999999</v>
      </c>
      <c r="AB883" s="35" t="s">
        <v>1574</v>
      </c>
      <c r="AC883" s="35" t="s">
        <v>301</v>
      </c>
      <c r="AD883" s="153" t="str">
        <f t="shared" si="226"/>
        <v>Vetch</v>
      </c>
      <c r="AE883" s="35" t="s">
        <v>167</v>
      </c>
      <c r="AP883" s="35" t="s">
        <v>154</v>
      </c>
      <c r="AQ883" s="35">
        <v>2</v>
      </c>
      <c r="AR883" s="35">
        <v>2</v>
      </c>
      <c r="AS883" s="35" t="s">
        <v>177</v>
      </c>
      <c r="AW883" s="63"/>
      <c r="DA883" s="35">
        <v>0.01</v>
      </c>
      <c r="DB883" s="35">
        <v>0.03</v>
      </c>
      <c r="DC883" s="35" t="s">
        <v>730</v>
      </c>
      <c r="FA883" s="35" t="s">
        <v>872</v>
      </c>
      <c r="FC883" s="35">
        <v>41</v>
      </c>
    </row>
    <row r="884" spans="1:159" s="35" customFormat="1" x14ac:dyDescent="0.25">
      <c r="A884" s="35">
        <v>41</v>
      </c>
      <c r="B884" s="35" t="s">
        <v>717</v>
      </c>
      <c r="C884" s="35" t="s">
        <v>718</v>
      </c>
      <c r="D884" s="35">
        <v>1994</v>
      </c>
      <c r="E884" s="35">
        <v>1989</v>
      </c>
      <c r="F884" s="35" t="s">
        <v>524</v>
      </c>
      <c r="G884" s="35" t="s">
        <v>720</v>
      </c>
      <c r="H884" s="35">
        <v>38.03</v>
      </c>
      <c r="I884" s="35">
        <v>-84.51</v>
      </c>
      <c r="J884" s="35">
        <v>299.60000000000002</v>
      </c>
      <c r="P884" s="54" t="s">
        <v>183</v>
      </c>
      <c r="Q884" s="54"/>
      <c r="R884" s="54" t="s">
        <v>269</v>
      </c>
      <c r="S884" s="54" t="s">
        <v>1644</v>
      </c>
      <c r="T884" s="54" t="s">
        <v>1644</v>
      </c>
      <c r="U884" s="35">
        <v>1.05</v>
      </c>
      <c r="V884" s="35">
        <v>7.3</v>
      </c>
      <c r="W884" s="35">
        <v>70.2</v>
      </c>
      <c r="X884" s="35" t="s">
        <v>168</v>
      </c>
      <c r="Y884" s="35">
        <v>5.48</v>
      </c>
      <c r="Z884" s="35">
        <v>1.1599999999999999</v>
      </c>
      <c r="AB884" s="35" t="s">
        <v>1574</v>
      </c>
      <c r="AC884" s="35" t="s">
        <v>301</v>
      </c>
      <c r="AD884" s="153" t="str">
        <f t="shared" si="226"/>
        <v>Vetch</v>
      </c>
      <c r="AE884" s="35" t="s">
        <v>167</v>
      </c>
      <c r="AP884" s="35" t="s">
        <v>154</v>
      </c>
      <c r="AQ884" s="35">
        <v>2</v>
      </c>
      <c r="AR884" s="35">
        <v>2</v>
      </c>
      <c r="AS884" s="35" t="s">
        <v>177</v>
      </c>
      <c r="AW884" s="63"/>
      <c r="DA884" s="35">
        <v>0.01</v>
      </c>
      <c r="DB884" s="35">
        <v>0.04</v>
      </c>
      <c r="DC884" s="35" t="s">
        <v>730</v>
      </c>
      <c r="FA884" s="35" t="s">
        <v>872</v>
      </c>
      <c r="FC884" s="35">
        <v>41</v>
      </c>
    </row>
    <row r="885" spans="1:159" s="35" customFormat="1" x14ac:dyDescent="0.25">
      <c r="A885" s="35">
        <v>41</v>
      </c>
      <c r="B885" s="35" t="s">
        <v>717</v>
      </c>
      <c r="C885" s="35" t="s">
        <v>718</v>
      </c>
      <c r="D885" s="35">
        <v>1994</v>
      </c>
      <c r="E885" s="35">
        <v>1989</v>
      </c>
      <c r="F885" s="35" t="s">
        <v>524</v>
      </c>
      <c r="G885" s="35" t="s">
        <v>720</v>
      </c>
      <c r="H885" s="35">
        <v>38.03</v>
      </c>
      <c r="I885" s="35">
        <v>-84.51</v>
      </c>
      <c r="J885" s="35">
        <v>299.60000000000002</v>
      </c>
      <c r="P885" s="54" t="s">
        <v>183</v>
      </c>
      <c r="Q885" s="54"/>
      <c r="R885" s="54" t="s">
        <v>726</v>
      </c>
      <c r="S885" s="54" t="s">
        <v>1644</v>
      </c>
      <c r="T885" s="54" t="s">
        <v>1644</v>
      </c>
      <c r="U885" s="35">
        <v>1.05</v>
      </c>
      <c r="V885" s="35">
        <v>7.3</v>
      </c>
      <c r="W885" s="35">
        <v>70.2</v>
      </c>
      <c r="X885" s="35" t="s">
        <v>168</v>
      </c>
      <c r="Y885" s="35">
        <v>5.48</v>
      </c>
      <c r="Z885" s="35">
        <v>1.1599999999999999</v>
      </c>
      <c r="AB885" s="35" t="s">
        <v>1574</v>
      </c>
      <c r="AC885" s="35" t="s">
        <v>301</v>
      </c>
      <c r="AD885" s="153" t="str">
        <f t="shared" si="226"/>
        <v>Vetch</v>
      </c>
      <c r="AE885" s="35" t="s">
        <v>167</v>
      </c>
      <c r="AP885" s="35" t="s">
        <v>154</v>
      </c>
      <c r="AQ885" s="35">
        <v>2</v>
      </c>
      <c r="AR885" s="35">
        <v>2</v>
      </c>
      <c r="AS885" s="35" t="s">
        <v>177</v>
      </c>
      <c r="AW885" s="63"/>
      <c r="DA885" s="35">
        <v>2.7E-2</v>
      </c>
      <c r="DB885" s="35">
        <v>0.01</v>
      </c>
      <c r="DC885" s="35" t="s">
        <v>730</v>
      </c>
      <c r="FA885" s="35" t="s">
        <v>872</v>
      </c>
      <c r="FC885" s="35">
        <v>41</v>
      </c>
    </row>
    <row r="886" spans="1:159" s="35" customFormat="1" x14ac:dyDescent="0.25">
      <c r="A886" s="35">
        <v>41</v>
      </c>
      <c r="B886" s="35" t="s">
        <v>717</v>
      </c>
      <c r="C886" s="35" t="s">
        <v>718</v>
      </c>
      <c r="D886" s="35">
        <v>1994</v>
      </c>
      <c r="E886" s="35">
        <v>1989</v>
      </c>
      <c r="F886" s="35" t="s">
        <v>524</v>
      </c>
      <c r="G886" s="35" t="s">
        <v>720</v>
      </c>
      <c r="H886" s="35">
        <v>38.03</v>
      </c>
      <c r="I886" s="35">
        <v>-84.51</v>
      </c>
      <c r="J886" s="35">
        <v>299.60000000000002</v>
      </c>
      <c r="P886" s="54" t="s">
        <v>183</v>
      </c>
      <c r="Q886" s="54"/>
      <c r="R886" s="54" t="s">
        <v>257</v>
      </c>
      <c r="S886" s="54" t="s">
        <v>1644</v>
      </c>
      <c r="T886" s="54" t="s">
        <v>1644</v>
      </c>
      <c r="U886" s="35">
        <v>1.05</v>
      </c>
      <c r="V886" s="35">
        <v>7.3</v>
      </c>
      <c r="W886" s="35">
        <v>70.2</v>
      </c>
      <c r="X886" s="35" t="s">
        <v>168</v>
      </c>
      <c r="Y886" s="35">
        <v>5.48</v>
      </c>
      <c r="Z886" s="35">
        <v>1.1599999999999999</v>
      </c>
      <c r="AB886" s="35" t="s">
        <v>1574</v>
      </c>
      <c r="AC886" s="35" t="s">
        <v>301</v>
      </c>
      <c r="AD886" s="153" t="str">
        <f t="shared" si="226"/>
        <v>Vetch</v>
      </c>
      <c r="AE886" s="35" t="s">
        <v>167</v>
      </c>
      <c r="AP886" s="35" t="s">
        <v>154</v>
      </c>
      <c r="AQ886" s="35">
        <v>2</v>
      </c>
      <c r="AR886" s="35">
        <v>2</v>
      </c>
      <c r="AS886" s="35" t="s">
        <v>177</v>
      </c>
      <c r="AW886" s="63"/>
      <c r="DA886" s="35">
        <v>5.0999999999999997E-2</v>
      </c>
      <c r="DB886" s="35">
        <v>0.01</v>
      </c>
      <c r="DC886" s="35" t="s">
        <v>730</v>
      </c>
      <c r="FA886" s="35" t="s">
        <v>872</v>
      </c>
      <c r="FC886" s="35">
        <v>41</v>
      </c>
    </row>
    <row r="887" spans="1:159" s="35" customFormat="1" x14ac:dyDescent="0.25">
      <c r="A887" s="35">
        <v>41</v>
      </c>
      <c r="B887" s="35" t="s">
        <v>717</v>
      </c>
      <c r="C887" s="35" t="s">
        <v>718</v>
      </c>
      <c r="D887" s="35">
        <v>1994</v>
      </c>
      <c r="E887" s="35">
        <v>1989</v>
      </c>
      <c r="F887" s="35" t="s">
        <v>524</v>
      </c>
      <c r="G887" s="35" t="s">
        <v>720</v>
      </c>
      <c r="H887" s="35">
        <v>38.03</v>
      </c>
      <c r="I887" s="35">
        <v>-84.51</v>
      </c>
      <c r="J887" s="35">
        <v>299.60000000000002</v>
      </c>
      <c r="P887" s="54" t="s">
        <v>183</v>
      </c>
      <c r="Q887" s="54"/>
      <c r="R887" s="54" t="s">
        <v>722</v>
      </c>
      <c r="S887" s="54" t="s">
        <v>1644</v>
      </c>
      <c r="T887" s="54" t="s">
        <v>1644</v>
      </c>
      <c r="U887" s="35">
        <v>1.05</v>
      </c>
      <c r="V887" s="35">
        <v>7.3</v>
      </c>
      <c r="W887" s="35">
        <v>70.2</v>
      </c>
      <c r="X887" s="35" t="s">
        <v>168</v>
      </c>
      <c r="Y887" s="35">
        <v>5.48</v>
      </c>
      <c r="Z887" s="35">
        <v>1.1599999999999999</v>
      </c>
      <c r="AB887" s="35" t="s">
        <v>1574</v>
      </c>
      <c r="AC887" s="35" t="s">
        <v>301</v>
      </c>
      <c r="AD887" s="153" t="str">
        <f t="shared" si="226"/>
        <v>Vetch</v>
      </c>
      <c r="AE887" s="35" t="s">
        <v>167</v>
      </c>
      <c r="AP887" s="35" t="s">
        <v>154</v>
      </c>
      <c r="AQ887" s="35">
        <v>2</v>
      </c>
      <c r="AR887" s="35">
        <v>2</v>
      </c>
      <c r="AS887" s="35" t="s">
        <v>177</v>
      </c>
      <c r="AW887" s="63"/>
      <c r="DA887" s="35">
        <v>8.4000000000000005E-2</v>
      </c>
      <c r="DB887" s="35">
        <v>0.02</v>
      </c>
      <c r="DC887" s="35" t="s">
        <v>730</v>
      </c>
      <c r="FA887" s="35" t="s">
        <v>872</v>
      </c>
      <c r="FC887" s="35">
        <v>41</v>
      </c>
    </row>
    <row r="888" spans="1:159" s="35" customFormat="1" x14ac:dyDescent="0.25">
      <c r="A888" s="35">
        <v>41</v>
      </c>
      <c r="B888" s="35" t="s">
        <v>717</v>
      </c>
      <c r="C888" s="35" t="s">
        <v>718</v>
      </c>
      <c r="D888" s="35">
        <v>1994</v>
      </c>
      <c r="E888" s="35">
        <v>1989</v>
      </c>
      <c r="F888" s="35" t="s">
        <v>524</v>
      </c>
      <c r="G888" s="35" t="s">
        <v>720</v>
      </c>
      <c r="H888" s="35">
        <v>38.03</v>
      </c>
      <c r="I888" s="35">
        <v>-84.51</v>
      </c>
      <c r="J888" s="35">
        <v>299.60000000000002</v>
      </c>
      <c r="P888" s="54" t="s">
        <v>183</v>
      </c>
      <c r="Q888" s="54"/>
      <c r="R888" s="54" t="s">
        <v>284</v>
      </c>
      <c r="S888" s="54" t="s">
        <v>1644</v>
      </c>
      <c r="T888" s="54" t="s">
        <v>1644</v>
      </c>
      <c r="U888" s="35">
        <v>1.05</v>
      </c>
      <c r="V888" s="35">
        <v>7.3</v>
      </c>
      <c r="W888" s="35">
        <v>70.2</v>
      </c>
      <c r="X888" s="35" t="s">
        <v>168</v>
      </c>
      <c r="Y888" s="35">
        <v>5.48</v>
      </c>
      <c r="Z888" s="35">
        <v>1.1599999999999999</v>
      </c>
      <c r="AB888" s="35" t="s">
        <v>1574</v>
      </c>
      <c r="AC888" s="35" t="s">
        <v>301</v>
      </c>
      <c r="AD888" s="153" t="str">
        <f t="shared" si="226"/>
        <v>Vetch</v>
      </c>
      <c r="AE888" s="35" t="s">
        <v>167</v>
      </c>
      <c r="AP888" s="35" t="s">
        <v>154</v>
      </c>
      <c r="AQ888" s="35">
        <v>2</v>
      </c>
      <c r="AR888" s="35">
        <v>2</v>
      </c>
      <c r="AS888" s="35" t="s">
        <v>177</v>
      </c>
      <c r="AW888" s="63"/>
      <c r="DA888" s="35">
        <v>9.8000000000000004E-2</v>
      </c>
      <c r="DB888" s="35">
        <v>0.02</v>
      </c>
      <c r="DC888" s="35" t="s">
        <v>730</v>
      </c>
      <c r="FA888" s="35" t="s">
        <v>872</v>
      </c>
      <c r="FC888" s="35">
        <v>41</v>
      </c>
    </row>
    <row r="889" spans="1:159" s="5" customFormat="1" x14ac:dyDescent="0.25">
      <c r="A889" s="5">
        <v>42</v>
      </c>
      <c r="B889" s="5" t="s">
        <v>731</v>
      </c>
      <c r="C889" s="5" t="s">
        <v>732</v>
      </c>
      <c r="D889" s="5">
        <v>1989</v>
      </c>
      <c r="E889" s="5">
        <v>1988</v>
      </c>
      <c r="F889" s="5" t="s">
        <v>524</v>
      </c>
      <c r="G889" s="5" t="s">
        <v>735</v>
      </c>
      <c r="H889" s="49">
        <v>34.137</v>
      </c>
      <c r="I889" s="5">
        <v>-85.09</v>
      </c>
      <c r="J889" s="5">
        <v>223.8</v>
      </c>
      <c r="P889" s="62" t="s">
        <v>181</v>
      </c>
      <c r="Q889" s="62"/>
      <c r="R889" s="62"/>
      <c r="S889" s="62" t="s">
        <v>1659</v>
      </c>
      <c r="T889" s="62" t="s">
        <v>1644</v>
      </c>
      <c r="X889" s="5" t="s">
        <v>734</v>
      </c>
      <c r="Z889" s="5">
        <f>(1.01+0.87+0.79)/3</f>
        <v>0.89</v>
      </c>
      <c r="AB889" s="5" t="s">
        <v>1562</v>
      </c>
      <c r="AC889" s="5" t="s">
        <v>150</v>
      </c>
      <c r="AD889" s="153" t="str">
        <f t="shared" si="226"/>
        <v>Wheat</v>
      </c>
      <c r="AE889" s="5" t="s">
        <v>167</v>
      </c>
      <c r="AP889" s="5" t="s">
        <v>154</v>
      </c>
      <c r="AQ889" s="5">
        <v>4</v>
      </c>
      <c r="AR889" s="5">
        <v>4</v>
      </c>
      <c r="AS889" s="5" t="s">
        <v>404</v>
      </c>
      <c r="AU889" s="5">
        <v>1775</v>
      </c>
      <c r="AV889" s="5">
        <f>AU889/32</f>
        <v>55.46875</v>
      </c>
      <c r="AW889" s="64"/>
      <c r="BH889" s="5">
        <v>1.01</v>
      </c>
      <c r="BI889" s="5">
        <v>1.18</v>
      </c>
      <c r="BK889" s="5">
        <v>1300</v>
      </c>
      <c r="BL889" s="5">
        <v>1400</v>
      </c>
      <c r="BW889" s="5" t="s">
        <v>1396</v>
      </c>
      <c r="BX889" s="5" t="s">
        <v>1396</v>
      </c>
      <c r="CF889" s="5">
        <v>56.3</v>
      </c>
      <c r="CG889" s="5">
        <v>65.099999999999994</v>
      </c>
      <c r="CH889" s="5" t="s">
        <v>737</v>
      </c>
      <c r="DS889" s="46"/>
      <c r="DU889" s="46"/>
      <c r="EW889" s="5">
        <v>99999</v>
      </c>
      <c r="FA889" s="5" t="s">
        <v>741</v>
      </c>
      <c r="FC889" s="5">
        <v>42</v>
      </c>
    </row>
    <row r="890" spans="1:159" s="5" customFormat="1" x14ac:dyDescent="0.25">
      <c r="A890" s="5">
        <v>42</v>
      </c>
      <c r="B890" s="5" t="s">
        <v>731</v>
      </c>
      <c r="C890" s="5" t="s">
        <v>732</v>
      </c>
      <c r="D890" s="5">
        <v>1989</v>
      </c>
      <c r="E890" s="5">
        <v>1988</v>
      </c>
      <c r="F890" s="5" t="s">
        <v>524</v>
      </c>
      <c r="G890" s="5" t="s">
        <v>735</v>
      </c>
      <c r="H890" s="49">
        <v>34.137</v>
      </c>
      <c r="I890" s="5">
        <v>-85.09</v>
      </c>
      <c r="J890" s="5">
        <v>223.8</v>
      </c>
      <c r="P890" s="62" t="s">
        <v>181</v>
      </c>
      <c r="Q890" s="62"/>
      <c r="R890" s="62"/>
      <c r="S890" s="62" t="s">
        <v>1659</v>
      </c>
      <c r="T890" s="62" t="s">
        <v>1644</v>
      </c>
      <c r="X890" s="5" t="s">
        <v>734</v>
      </c>
      <c r="Z890" s="5">
        <f t="shared" ref="Z890:Z897" si="227">(1.01+0.87+0.79)/3</f>
        <v>0.89</v>
      </c>
      <c r="AB890" s="5" t="s">
        <v>1562</v>
      </c>
      <c r="AC890" s="5" t="s">
        <v>1805</v>
      </c>
      <c r="AD890" s="153" t="str">
        <f t="shared" si="226"/>
        <v>Crimson_clover</v>
      </c>
      <c r="AE890" s="5" t="s">
        <v>167</v>
      </c>
      <c r="AP890" s="5" t="s">
        <v>154</v>
      </c>
      <c r="AQ890" s="5">
        <v>4</v>
      </c>
      <c r="AR890" s="5">
        <v>4</v>
      </c>
      <c r="AS890" s="5" t="s">
        <v>404</v>
      </c>
      <c r="AU890" s="5">
        <v>3544</v>
      </c>
      <c r="AV890" s="5">
        <f>AU890/108</f>
        <v>32.814814814814817</v>
      </c>
      <c r="AW890" s="64"/>
      <c r="BH890" s="5">
        <v>1.01</v>
      </c>
      <c r="BI890" s="5">
        <v>1.28</v>
      </c>
      <c r="BK890" s="5">
        <v>1300</v>
      </c>
      <c r="BL890" s="5">
        <v>1500</v>
      </c>
      <c r="BW890" s="5" t="s">
        <v>1396</v>
      </c>
      <c r="BX890" s="5" t="s">
        <v>1396</v>
      </c>
      <c r="CF890" s="5">
        <v>56.3</v>
      </c>
      <c r="CG890" s="5">
        <v>55</v>
      </c>
      <c r="CH890" s="5" t="s">
        <v>737</v>
      </c>
      <c r="DS890" s="46"/>
      <c r="DU890" s="46"/>
      <c r="EW890" s="5">
        <v>99999</v>
      </c>
      <c r="FA890" s="5" t="s">
        <v>741</v>
      </c>
      <c r="FC890" s="5">
        <v>42</v>
      </c>
    </row>
    <row r="891" spans="1:159" s="5" customFormat="1" x14ac:dyDescent="0.25">
      <c r="A891" s="5">
        <v>42</v>
      </c>
      <c r="B891" s="5" t="s">
        <v>731</v>
      </c>
      <c r="C891" s="5" t="s">
        <v>732</v>
      </c>
      <c r="D891" s="5">
        <v>1989</v>
      </c>
      <c r="E891" s="5">
        <v>1988</v>
      </c>
      <c r="F891" s="5" t="s">
        <v>524</v>
      </c>
      <c r="G891" s="5" t="s">
        <v>735</v>
      </c>
      <c r="H891" s="49">
        <v>34.137</v>
      </c>
      <c r="I891" s="5">
        <v>-85.09</v>
      </c>
      <c r="J891" s="5">
        <v>223.8</v>
      </c>
      <c r="P891" s="62" t="s">
        <v>181</v>
      </c>
      <c r="Q891" s="62"/>
      <c r="R891" s="62"/>
      <c r="S891" s="62" t="s">
        <v>1659</v>
      </c>
      <c r="T891" s="62" t="s">
        <v>1644</v>
      </c>
      <c r="X891" s="5" t="s">
        <v>734</v>
      </c>
      <c r="Z891" s="5">
        <f t="shared" si="227"/>
        <v>0.89</v>
      </c>
      <c r="AB891" s="5" t="s">
        <v>1562</v>
      </c>
      <c r="AC891" s="5" t="s">
        <v>301</v>
      </c>
      <c r="AD891" s="153" t="str">
        <f t="shared" si="226"/>
        <v>Vetch</v>
      </c>
      <c r="AE891" s="5" t="s">
        <v>167</v>
      </c>
      <c r="AP891" s="5" t="s">
        <v>154</v>
      </c>
      <c r="AQ891" s="5">
        <v>4</v>
      </c>
      <c r="AR891" s="5">
        <v>4</v>
      </c>
      <c r="AS891" s="5" t="s">
        <v>404</v>
      </c>
      <c r="AU891" s="5">
        <v>3433</v>
      </c>
      <c r="AV891" s="5">
        <f>AU891/128</f>
        <v>26.8203125</v>
      </c>
      <c r="AW891" s="64"/>
      <c r="BH891" s="5">
        <v>1.01</v>
      </c>
      <c r="BI891" s="5">
        <v>1.18</v>
      </c>
      <c r="BK891" s="5">
        <v>1300</v>
      </c>
      <c r="BL891" s="5">
        <v>1500</v>
      </c>
      <c r="BW891" s="5" t="s">
        <v>1396</v>
      </c>
      <c r="BX891" s="5" t="s">
        <v>1396</v>
      </c>
      <c r="CF891" s="5">
        <v>56.3</v>
      </c>
      <c r="CG891" s="5">
        <v>58.2</v>
      </c>
      <c r="CH891" s="5" t="s">
        <v>737</v>
      </c>
      <c r="CO891" s="5">
        <v>23.4</v>
      </c>
      <c r="CP891" s="5">
        <v>38.799999999999997</v>
      </c>
      <c r="DS891" s="46"/>
      <c r="DU891" s="46"/>
      <c r="EW891" s="5">
        <v>99999</v>
      </c>
      <c r="FA891" s="5" t="s">
        <v>741</v>
      </c>
      <c r="FC891" s="5">
        <v>42</v>
      </c>
    </row>
    <row r="892" spans="1:159" s="5" customFormat="1" x14ac:dyDescent="0.25">
      <c r="A892" s="5">
        <v>42</v>
      </c>
      <c r="B892" s="5" t="s">
        <v>731</v>
      </c>
      <c r="C892" s="5" t="s">
        <v>732</v>
      </c>
      <c r="D892" s="5">
        <v>1989</v>
      </c>
      <c r="E892" s="5">
        <v>1988</v>
      </c>
      <c r="F892" s="5" t="s">
        <v>524</v>
      </c>
      <c r="G892" s="5" t="s">
        <v>735</v>
      </c>
      <c r="H892" s="49">
        <v>34.137</v>
      </c>
      <c r="I892" s="5">
        <v>-85.09</v>
      </c>
      <c r="J892" s="5">
        <v>223.8</v>
      </c>
      <c r="P892" s="62" t="s">
        <v>181</v>
      </c>
      <c r="Q892" s="62"/>
      <c r="R892" s="62"/>
      <c r="S892" s="62" t="s">
        <v>1666</v>
      </c>
      <c r="T892" s="62" t="s">
        <v>1644</v>
      </c>
      <c r="X892" s="5" t="s">
        <v>734</v>
      </c>
      <c r="Z892" s="5">
        <f t="shared" si="227"/>
        <v>0.89</v>
      </c>
      <c r="AB892" s="5" t="s">
        <v>1562</v>
      </c>
      <c r="AC892" s="5" t="s">
        <v>150</v>
      </c>
      <c r="AD892" s="153" t="str">
        <f t="shared" si="226"/>
        <v>Wheat</v>
      </c>
      <c r="AE892" s="5" t="s">
        <v>167</v>
      </c>
      <c r="AP892" s="5" t="s">
        <v>154</v>
      </c>
      <c r="AQ892" s="5">
        <v>4</v>
      </c>
      <c r="AR892" s="5">
        <v>4</v>
      </c>
      <c r="AS892" s="5" t="s">
        <v>404</v>
      </c>
      <c r="AU892" s="5">
        <v>1775</v>
      </c>
      <c r="AV892" s="5">
        <f>AU892/32</f>
        <v>55.46875</v>
      </c>
      <c r="AW892" s="64"/>
      <c r="BH892" s="5">
        <v>0.87</v>
      </c>
      <c r="BI892" s="5">
        <v>0.95</v>
      </c>
      <c r="BK892" s="5">
        <v>1000</v>
      </c>
      <c r="BL892" s="5">
        <v>1200</v>
      </c>
      <c r="BW892" s="5" t="s">
        <v>1396</v>
      </c>
      <c r="BX892" s="5" t="s">
        <v>1396</v>
      </c>
      <c r="DS892" s="46"/>
      <c r="DU892" s="46"/>
      <c r="EW892" s="5">
        <v>99999</v>
      </c>
      <c r="FA892" s="5" t="s">
        <v>741</v>
      </c>
      <c r="FC892" s="5">
        <v>42</v>
      </c>
    </row>
    <row r="893" spans="1:159" s="5" customFormat="1" x14ac:dyDescent="0.25">
      <c r="A893" s="5">
        <v>42</v>
      </c>
      <c r="B893" s="5" t="s">
        <v>731</v>
      </c>
      <c r="C893" s="5" t="s">
        <v>732</v>
      </c>
      <c r="D893" s="5">
        <v>1989</v>
      </c>
      <c r="E893" s="5">
        <v>1988</v>
      </c>
      <c r="F893" s="5" t="s">
        <v>524</v>
      </c>
      <c r="G893" s="5" t="s">
        <v>735</v>
      </c>
      <c r="H893" s="49">
        <v>34.137</v>
      </c>
      <c r="I893" s="5">
        <v>-85.09</v>
      </c>
      <c r="J893" s="5">
        <v>223.8</v>
      </c>
      <c r="P893" s="62" t="s">
        <v>181</v>
      </c>
      <c r="Q893" s="62"/>
      <c r="R893" s="62"/>
      <c r="S893" s="62" t="s">
        <v>1666</v>
      </c>
      <c r="T893" s="62" t="s">
        <v>1644</v>
      </c>
      <c r="X893" s="5" t="s">
        <v>734</v>
      </c>
      <c r="Z893" s="5">
        <f t="shared" si="227"/>
        <v>0.89</v>
      </c>
      <c r="AB893" s="5" t="s">
        <v>1562</v>
      </c>
      <c r="AC893" s="5" t="s">
        <v>1805</v>
      </c>
      <c r="AD893" s="153" t="str">
        <f t="shared" si="226"/>
        <v>Crimson_clover</v>
      </c>
      <c r="AE893" s="5" t="s">
        <v>167</v>
      </c>
      <c r="AP893" s="5" t="s">
        <v>154</v>
      </c>
      <c r="AQ893" s="5">
        <v>4</v>
      </c>
      <c r="AR893" s="5">
        <v>4</v>
      </c>
      <c r="AS893" s="5" t="s">
        <v>404</v>
      </c>
      <c r="AU893" s="5">
        <v>3544</v>
      </c>
      <c r="AV893" s="5">
        <f>AU893/108</f>
        <v>32.814814814814817</v>
      </c>
      <c r="AW893" s="64"/>
      <c r="BH893" s="5">
        <v>0.87</v>
      </c>
      <c r="BI893" s="5">
        <v>1.03</v>
      </c>
      <c r="BK893" s="5">
        <v>1000</v>
      </c>
      <c r="BL893" s="5">
        <v>1200</v>
      </c>
      <c r="BW893" s="5" t="s">
        <v>1396</v>
      </c>
      <c r="BX893" s="5" t="s">
        <v>1396</v>
      </c>
      <c r="DS893" s="46"/>
      <c r="DU893" s="46"/>
      <c r="EW893" s="5">
        <v>99999</v>
      </c>
      <c r="FA893" s="5" t="s">
        <v>741</v>
      </c>
      <c r="FC893" s="5">
        <v>42</v>
      </c>
    </row>
    <row r="894" spans="1:159" s="5" customFormat="1" x14ac:dyDescent="0.25">
      <c r="A894" s="5">
        <v>42</v>
      </c>
      <c r="B894" s="5" t="s">
        <v>731</v>
      </c>
      <c r="C894" s="5" t="s">
        <v>732</v>
      </c>
      <c r="D894" s="5">
        <v>1989</v>
      </c>
      <c r="E894" s="5">
        <v>1988</v>
      </c>
      <c r="F894" s="5" t="s">
        <v>524</v>
      </c>
      <c r="G894" s="5" t="s">
        <v>735</v>
      </c>
      <c r="H894" s="49">
        <v>34.137</v>
      </c>
      <c r="I894" s="5">
        <v>-85.09</v>
      </c>
      <c r="J894" s="5">
        <v>223.8</v>
      </c>
      <c r="P894" s="62" t="s">
        <v>181</v>
      </c>
      <c r="Q894" s="62"/>
      <c r="R894" s="62"/>
      <c r="S894" s="62" t="s">
        <v>1666</v>
      </c>
      <c r="T894" s="62" t="s">
        <v>1644</v>
      </c>
      <c r="X894" s="5" t="s">
        <v>734</v>
      </c>
      <c r="Z894" s="5">
        <f t="shared" si="227"/>
        <v>0.89</v>
      </c>
      <c r="AB894" s="5" t="s">
        <v>1562</v>
      </c>
      <c r="AC894" s="5" t="s">
        <v>301</v>
      </c>
      <c r="AD894" s="153" t="str">
        <f t="shared" si="226"/>
        <v>Vetch</v>
      </c>
      <c r="AE894" s="5" t="s">
        <v>167</v>
      </c>
      <c r="AP894" s="5" t="s">
        <v>154</v>
      </c>
      <c r="AQ894" s="5">
        <v>4</v>
      </c>
      <c r="AR894" s="5">
        <v>4</v>
      </c>
      <c r="AS894" s="5" t="s">
        <v>404</v>
      </c>
      <c r="AU894" s="5">
        <v>3433</v>
      </c>
      <c r="AV894" s="5">
        <f>AU894/128</f>
        <v>26.8203125</v>
      </c>
      <c r="AW894" s="64"/>
      <c r="BH894" s="5">
        <v>0.87</v>
      </c>
      <c r="BI894" s="5">
        <v>0.93</v>
      </c>
      <c r="BK894" s="5">
        <v>1000</v>
      </c>
      <c r="BL894" s="5">
        <v>1200</v>
      </c>
      <c r="BW894" s="5" t="s">
        <v>1396</v>
      </c>
      <c r="BX894" s="5" t="s">
        <v>1396</v>
      </c>
      <c r="DS894" s="46"/>
      <c r="DU894" s="46"/>
      <c r="EW894" s="5">
        <v>99999</v>
      </c>
      <c r="FA894" s="5" t="s">
        <v>741</v>
      </c>
      <c r="FC894" s="5">
        <v>42</v>
      </c>
    </row>
    <row r="895" spans="1:159" s="5" customFormat="1" x14ac:dyDescent="0.25">
      <c r="A895" s="5">
        <v>42</v>
      </c>
      <c r="B895" s="5" t="s">
        <v>731</v>
      </c>
      <c r="C895" s="5" t="s">
        <v>732</v>
      </c>
      <c r="D895" s="5">
        <v>1989</v>
      </c>
      <c r="E895" s="5">
        <v>1988</v>
      </c>
      <c r="F895" s="5" t="s">
        <v>524</v>
      </c>
      <c r="G895" s="5" t="s">
        <v>735</v>
      </c>
      <c r="H895" s="49">
        <v>34.137</v>
      </c>
      <c r="I895" s="5">
        <v>-85.09</v>
      </c>
      <c r="J895" s="5">
        <v>223.8</v>
      </c>
      <c r="P895" s="62" t="s">
        <v>181</v>
      </c>
      <c r="Q895" s="62"/>
      <c r="R895" s="62"/>
      <c r="S895" s="62" t="s">
        <v>1657</v>
      </c>
      <c r="T895" s="62" t="s">
        <v>1644</v>
      </c>
      <c r="X895" s="5" t="s">
        <v>734</v>
      </c>
      <c r="Z895" s="5">
        <f t="shared" si="227"/>
        <v>0.89</v>
      </c>
      <c r="AB895" s="5" t="s">
        <v>1562</v>
      </c>
      <c r="AC895" s="5" t="s">
        <v>150</v>
      </c>
      <c r="AD895" s="153" t="str">
        <f t="shared" si="226"/>
        <v>Wheat</v>
      </c>
      <c r="AE895" s="5" t="s">
        <v>167</v>
      </c>
      <c r="AP895" s="5" t="s">
        <v>154</v>
      </c>
      <c r="AQ895" s="5">
        <v>4</v>
      </c>
      <c r="AR895" s="5">
        <v>4</v>
      </c>
      <c r="AS895" s="5" t="s">
        <v>404</v>
      </c>
      <c r="AU895" s="5">
        <v>1775</v>
      </c>
      <c r="AV895" s="5">
        <f>AU895/32</f>
        <v>55.46875</v>
      </c>
      <c r="AW895" s="64"/>
      <c r="BH895" s="5">
        <v>0.79</v>
      </c>
      <c r="BI895" s="5">
        <v>0.93</v>
      </c>
      <c r="BK895" s="5">
        <v>1100</v>
      </c>
      <c r="BL895" s="5">
        <v>1100</v>
      </c>
      <c r="BW895" s="5" t="s">
        <v>1396</v>
      </c>
      <c r="BX895" s="5" t="s">
        <v>1396</v>
      </c>
      <c r="DS895" s="46"/>
      <c r="DU895" s="46"/>
      <c r="EW895" s="5">
        <v>99999</v>
      </c>
      <c r="FA895" s="5" t="s">
        <v>741</v>
      </c>
      <c r="FC895" s="5">
        <v>42</v>
      </c>
    </row>
    <row r="896" spans="1:159" s="5" customFormat="1" x14ac:dyDescent="0.25">
      <c r="A896" s="5">
        <v>42</v>
      </c>
      <c r="B896" s="5" t="s">
        <v>731</v>
      </c>
      <c r="C896" s="5" t="s">
        <v>732</v>
      </c>
      <c r="D896" s="5">
        <v>1989</v>
      </c>
      <c r="E896" s="5">
        <v>1988</v>
      </c>
      <c r="F896" s="5" t="s">
        <v>524</v>
      </c>
      <c r="G896" s="5" t="s">
        <v>735</v>
      </c>
      <c r="H896" s="49">
        <v>34.137</v>
      </c>
      <c r="I896" s="5">
        <v>-85.09</v>
      </c>
      <c r="J896" s="5">
        <v>223.8</v>
      </c>
      <c r="P896" s="62" t="s">
        <v>181</v>
      </c>
      <c r="Q896" s="62"/>
      <c r="R896" s="62"/>
      <c r="S896" s="62" t="s">
        <v>1657</v>
      </c>
      <c r="T896" s="62" t="s">
        <v>1644</v>
      </c>
      <c r="X896" s="5" t="s">
        <v>734</v>
      </c>
      <c r="Z896" s="5">
        <f t="shared" si="227"/>
        <v>0.89</v>
      </c>
      <c r="AB896" s="5" t="s">
        <v>1562</v>
      </c>
      <c r="AC896" s="5" t="s">
        <v>1805</v>
      </c>
      <c r="AD896" s="153" t="str">
        <f t="shared" si="226"/>
        <v>Crimson_clover</v>
      </c>
      <c r="AE896" s="5" t="s">
        <v>167</v>
      </c>
      <c r="AP896" s="5" t="s">
        <v>154</v>
      </c>
      <c r="AQ896" s="5">
        <v>4</v>
      </c>
      <c r="AR896" s="5">
        <v>4</v>
      </c>
      <c r="AS896" s="5" t="s">
        <v>404</v>
      </c>
      <c r="AU896" s="5">
        <v>3544</v>
      </c>
      <c r="AV896" s="5">
        <f>AU896/108</f>
        <v>32.814814814814817</v>
      </c>
      <c r="AW896" s="64"/>
      <c r="BH896" s="5">
        <v>0.79</v>
      </c>
      <c r="BI896" s="5">
        <v>1.01</v>
      </c>
      <c r="BK896" s="5">
        <v>1100</v>
      </c>
      <c r="BL896" s="5">
        <v>1200</v>
      </c>
      <c r="BW896" s="5" t="s">
        <v>1396</v>
      </c>
      <c r="BX896" s="5" t="s">
        <v>1396</v>
      </c>
      <c r="DS896" s="46"/>
      <c r="DU896" s="46"/>
      <c r="EW896" s="5">
        <v>99999</v>
      </c>
      <c r="FA896" s="5" t="s">
        <v>741</v>
      </c>
      <c r="FC896" s="5">
        <v>42</v>
      </c>
    </row>
    <row r="897" spans="1:159" s="5" customFormat="1" x14ac:dyDescent="0.25">
      <c r="A897" s="5">
        <v>42</v>
      </c>
      <c r="B897" s="5" t="s">
        <v>731</v>
      </c>
      <c r="C897" s="5" t="s">
        <v>732</v>
      </c>
      <c r="D897" s="5">
        <v>1989</v>
      </c>
      <c r="E897" s="5">
        <v>1988</v>
      </c>
      <c r="F897" s="5" t="s">
        <v>524</v>
      </c>
      <c r="G897" s="5" t="s">
        <v>735</v>
      </c>
      <c r="H897" s="49">
        <v>34.137</v>
      </c>
      <c r="I897" s="5">
        <v>-85.09</v>
      </c>
      <c r="J897" s="5">
        <v>223.8</v>
      </c>
      <c r="P897" s="62" t="s">
        <v>181</v>
      </c>
      <c r="Q897" s="62"/>
      <c r="R897" s="62"/>
      <c r="S897" s="62" t="s">
        <v>1657</v>
      </c>
      <c r="T897" s="62" t="s">
        <v>1644</v>
      </c>
      <c r="X897" s="5" t="s">
        <v>734</v>
      </c>
      <c r="Z897" s="5">
        <f t="shared" si="227"/>
        <v>0.89</v>
      </c>
      <c r="AB897" s="5" t="s">
        <v>1562</v>
      </c>
      <c r="AC897" s="5" t="s">
        <v>301</v>
      </c>
      <c r="AD897" s="153" t="str">
        <f t="shared" si="226"/>
        <v>Vetch</v>
      </c>
      <c r="AE897" s="5" t="s">
        <v>167</v>
      </c>
      <c r="AP897" s="5" t="s">
        <v>154</v>
      </c>
      <c r="AQ897" s="5">
        <v>4</v>
      </c>
      <c r="AR897" s="5">
        <v>4</v>
      </c>
      <c r="AS897" s="5" t="s">
        <v>404</v>
      </c>
      <c r="AU897" s="5">
        <v>3433</v>
      </c>
      <c r="AV897" s="5">
        <f>AU897/128</f>
        <v>26.8203125</v>
      </c>
      <c r="AW897" s="64"/>
      <c r="BH897" s="5">
        <v>0.79</v>
      </c>
      <c r="BI897" s="5">
        <v>0.79</v>
      </c>
      <c r="BK897" s="5">
        <v>1100</v>
      </c>
      <c r="BL897" s="5">
        <v>1100</v>
      </c>
      <c r="BW897" s="5" t="s">
        <v>1396</v>
      </c>
      <c r="BX897" s="5" t="s">
        <v>1396</v>
      </c>
      <c r="DS897" s="46"/>
      <c r="DU897" s="46"/>
      <c r="EW897" s="5">
        <v>99999</v>
      </c>
      <c r="FA897" s="5" t="s">
        <v>741</v>
      </c>
      <c r="FC897" s="5">
        <v>42</v>
      </c>
    </row>
    <row r="898" spans="1:159" s="31" customFormat="1" x14ac:dyDescent="0.25">
      <c r="A898" s="31">
        <v>42</v>
      </c>
      <c r="B898" s="31" t="s">
        <v>731</v>
      </c>
      <c r="C898" s="31" t="s">
        <v>732</v>
      </c>
      <c r="D898" s="31">
        <v>1989</v>
      </c>
      <c r="E898" s="31">
        <v>1988</v>
      </c>
      <c r="F898" s="31" t="s">
        <v>524</v>
      </c>
      <c r="G898" s="31" t="s">
        <v>736</v>
      </c>
      <c r="H898" s="50">
        <v>31.62</v>
      </c>
      <c r="I898" s="31">
        <v>-81.91</v>
      </c>
      <c r="J898" s="31">
        <v>33.700000000000003</v>
      </c>
      <c r="P898" s="56" t="s">
        <v>181</v>
      </c>
      <c r="Q898" s="56"/>
      <c r="R898" s="56"/>
      <c r="S898" s="56" t="s">
        <v>1659</v>
      </c>
      <c r="T898" s="56" t="s">
        <v>1644</v>
      </c>
      <c r="X898" s="31" t="s">
        <v>733</v>
      </c>
      <c r="Y898" s="31">
        <v>5.5</v>
      </c>
      <c r="Z898" s="31">
        <v>0.72</v>
      </c>
      <c r="AB898" s="31" t="s">
        <v>1562</v>
      </c>
      <c r="AC898" s="31" t="s">
        <v>150</v>
      </c>
      <c r="AD898" s="153" t="str">
        <f t="shared" si="226"/>
        <v>Wheat</v>
      </c>
      <c r="AE898" s="31" t="s">
        <v>277</v>
      </c>
      <c r="AP898" s="31" t="s">
        <v>154</v>
      </c>
      <c r="AQ898" s="31">
        <v>4</v>
      </c>
      <c r="AR898" s="31">
        <v>4</v>
      </c>
      <c r="AS898" s="31" t="s">
        <v>404</v>
      </c>
      <c r="AU898" s="31">
        <v>1775</v>
      </c>
      <c r="AV898" s="31">
        <v>55.46875</v>
      </c>
      <c r="AW898" s="64"/>
      <c r="BH898" s="31">
        <f>8.5/10</f>
        <v>0.85</v>
      </c>
      <c r="BI898" s="31">
        <v>0.89</v>
      </c>
      <c r="BK898" s="31">
        <f>1000</f>
        <v>1000</v>
      </c>
      <c r="BL898" s="31">
        <f>1100</f>
        <v>1100</v>
      </c>
      <c r="BN898" s="31">
        <v>21</v>
      </c>
      <c r="BO898" s="31">
        <v>20.3</v>
      </c>
      <c r="BT898" s="31">
        <v>5</v>
      </c>
      <c r="BU898" s="31">
        <v>5</v>
      </c>
      <c r="BW898" s="31" t="s">
        <v>1396</v>
      </c>
      <c r="BX898" s="31" t="s">
        <v>1396</v>
      </c>
      <c r="CF898" s="31">
        <v>28.9</v>
      </c>
      <c r="CG898" s="31">
        <v>32.6</v>
      </c>
      <c r="CH898" s="31" t="s">
        <v>737</v>
      </c>
      <c r="CO898" s="31">
        <v>37.799999999999997</v>
      </c>
      <c r="CP898" s="31">
        <v>42.3</v>
      </c>
      <c r="EW898" s="31">
        <v>99999</v>
      </c>
      <c r="FA898" s="31" t="s">
        <v>741</v>
      </c>
      <c r="FC898" s="31">
        <v>42</v>
      </c>
    </row>
    <row r="899" spans="1:159" s="31" customFormat="1" x14ac:dyDescent="0.25">
      <c r="A899" s="31">
        <v>42</v>
      </c>
      <c r="B899" s="31" t="s">
        <v>731</v>
      </c>
      <c r="C899" s="31" t="s">
        <v>732</v>
      </c>
      <c r="D899" s="31">
        <v>1989</v>
      </c>
      <c r="E899" s="31">
        <v>1988</v>
      </c>
      <c r="F899" s="31" t="s">
        <v>524</v>
      </c>
      <c r="G899" s="31" t="s">
        <v>736</v>
      </c>
      <c r="H899" s="50">
        <v>31.62</v>
      </c>
      <c r="I899" s="31">
        <v>-81.91</v>
      </c>
      <c r="J899" s="31">
        <v>33.700000000000003</v>
      </c>
      <c r="P899" s="56" t="s">
        <v>181</v>
      </c>
      <c r="Q899" s="56"/>
      <c r="R899" s="56"/>
      <c r="S899" s="56" t="s">
        <v>1659</v>
      </c>
      <c r="T899" s="56" t="s">
        <v>1644</v>
      </c>
      <c r="X899" s="31" t="s">
        <v>733</v>
      </c>
      <c r="Y899" s="31">
        <v>5.5</v>
      </c>
      <c r="Z899" s="31">
        <v>0.72</v>
      </c>
      <c r="AB899" s="31" t="s">
        <v>1562</v>
      </c>
      <c r="AC899" s="31" t="s">
        <v>1805</v>
      </c>
      <c r="AD899" s="153" t="str">
        <f t="shared" ref="AD899:AD962" si="228">IF(OR(AC899="*Rye",AC899="Rye*",AC899="Downy_brome"),"Rye",IF(OR(AC899="*Oat",AC899="Oat*",AC899="Trudan_8",AC899="*Wheat",AC899="Wheat*",AC899="Barley*",AC899="Hemp",AC899="Hemp",AC899="Triticale*",AC899="Grass",AC899="Millet"),"Grass",IF(OR(AC899="*clover",AC899="clover*",AC899="Vetch*",AC899="Vetch*",AC899="Alfalfa",AC899="Soybean",AC899="*Lentil",AC899="Lentil*",AC899="*Pea",AC899="Pea*",AC899="Lupine"),"Legume",AC899)))</f>
        <v>Crimson_clover</v>
      </c>
      <c r="AE899" s="31" t="s">
        <v>277</v>
      </c>
      <c r="AP899" s="31" t="s">
        <v>154</v>
      </c>
      <c r="AQ899" s="31">
        <v>4</v>
      </c>
      <c r="AR899" s="31">
        <v>4</v>
      </c>
      <c r="AS899" s="31" t="s">
        <v>404</v>
      </c>
      <c r="AU899" s="31">
        <v>3544</v>
      </c>
      <c r="AV899" s="31">
        <v>32.814814814814817</v>
      </c>
      <c r="AW899" s="64"/>
      <c r="BH899" s="31">
        <f t="shared" ref="BH899:BH900" si="229">8.5/10</f>
        <v>0.85</v>
      </c>
      <c r="BI899" s="31">
        <v>1.06</v>
      </c>
      <c r="BK899" s="31">
        <f>1000</f>
        <v>1000</v>
      </c>
      <c r="BL899" s="31">
        <v>1300</v>
      </c>
      <c r="BN899" s="31">
        <v>21</v>
      </c>
      <c r="BO899" s="31">
        <v>14.5</v>
      </c>
      <c r="BT899" s="31">
        <v>5</v>
      </c>
      <c r="BU899" s="31">
        <v>4.9000000000000004</v>
      </c>
      <c r="BW899" s="31" t="s">
        <v>1396</v>
      </c>
      <c r="BX899" s="31" t="s">
        <v>1396</v>
      </c>
      <c r="CF899" s="31">
        <v>28.9</v>
      </c>
      <c r="CG899" s="31">
        <v>37.9</v>
      </c>
      <c r="CH899" s="31" t="s">
        <v>737</v>
      </c>
      <c r="EW899" s="31">
        <v>99999</v>
      </c>
      <c r="FA899" s="31" t="s">
        <v>741</v>
      </c>
      <c r="FC899" s="31">
        <v>42</v>
      </c>
    </row>
    <row r="900" spans="1:159" s="31" customFormat="1" x14ac:dyDescent="0.25">
      <c r="A900" s="31">
        <v>42</v>
      </c>
      <c r="B900" s="31" t="s">
        <v>731</v>
      </c>
      <c r="C900" s="31" t="s">
        <v>732</v>
      </c>
      <c r="D900" s="31">
        <v>1989</v>
      </c>
      <c r="E900" s="31">
        <v>1988</v>
      </c>
      <c r="F900" s="31" t="s">
        <v>524</v>
      </c>
      <c r="G900" s="31" t="s">
        <v>736</v>
      </c>
      <c r="H900" s="50">
        <v>31.62</v>
      </c>
      <c r="I900" s="31">
        <v>-81.91</v>
      </c>
      <c r="J900" s="31">
        <v>33.700000000000003</v>
      </c>
      <c r="P900" s="56" t="s">
        <v>181</v>
      </c>
      <c r="Q900" s="56"/>
      <c r="R900" s="56"/>
      <c r="S900" s="56" t="s">
        <v>1659</v>
      </c>
      <c r="T900" s="56" t="s">
        <v>1644</v>
      </c>
      <c r="X900" s="31" t="s">
        <v>733</v>
      </c>
      <c r="Y900" s="31">
        <v>5.5</v>
      </c>
      <c r="Z900" s="31">
        <v>0.72</v>
      </c>
      <c r="AB900" s="31" t="s">
        <v>1562</v>
      </c>
      <c r="AC900" s="31" t="s">
        <v>301</v>
      </c>
      <c r="AD900" s="153" t="str">
        <f t="shared" si="228"/>
        <v>Vetch</v>
      </c>
      <c r="AE900" s="31" t="s">
        <v>277</v>
      </c>
      <c r="AP900" s="31" t="s">
        <v>154</v>
      </c>
      <c r="AQ900" s="31">
        <v>4</v>
      </c>
      <c r="AR900" s="31">
        <v>4</v>
      </c>
      <c r="AS900" s="31" t="s">
        <v>404</v>
      </c>
      <c r="AU900" s="31">
        <v>3433</v>
      </c>
      <c r="AV900" s="31">
        <v>26.8203125</v>
      </c>
      <c r="AW900" s="64"/>
      <c r="BH900" s="31">
        <f t="shared" si="229"/>
        <v>0.85</v>
      </c>
      <c r="BI900" s="31">
        <v>1.02</v>
      </c>
      <c r="BK900" s="31">
        <f>1000</f>
        <v>1000</v>
      </c>
      <c r="BL900" s="31">
        <v>1300</v>
      </c>
      <c r="BN900" s="31">
        <v>21</v>
      </c>
      <c r="BO900" s="31">
        <v>18.8</v>
      </c>
      <c r="BT900" s="31">
        <v>5</v>
      </c>
      <c r="BU900" s="31">
        <v>4.8</v>
      </c>
      <c r="BW900" s="31" t="s">
        <v>1396</v>
      </c>
      <c r="BX900" s="31" t="s">
        <v>1396</v>
      </c>
      <c r="CF900" s="31">
        <v>28.9</v>
      </c>
      <c r="CG900" s="31">
        <v>36.700000000000003</v>
      </c>
      <c r="CH900" s="31" t="s">
        <v>737</v>
      </c>
      <c r="CO900" s="31">
        <v>37.799999999999997</v>
      </c>
      <c r="CP900" s="31">
        <v>58.4</v>
      </c>
      <c r="EW900" s="31">
        <v>99999</v>
      </c>
      <c r="FA900" s="31" t="s">
        <v>741</v>
      </c>
      <c r="FC900" s="31">
        <v>42</v>
      </c>
    </row>
    <row r="901" spans="1:159" s="31" customFormat="1" x14ac:dyDescent="0.25">
      <c r="A901" s="31">
        <v>42</v>
      </c>
      <c r="B901" s="31" t="s">
        <v>731</v>
      </c>
      <c r="C901" s="31" t="s">
        <v>732</v>
      </c>
      <c r="D901" s="31">
        <v>1989</v>
      </c>
      <c r="E901" s="31">
        <v>1988</v>
      </c>
      <c r="F901" s="31" t="s">
        <v>524</v>
      </c>
      <c r="G901" s="31" t="s">
        <v>736</v>
      </c>
      <c r="H901" s="50">
        <v>31.62</v>
      </c>
      <c r="I901" s="31">
        <v>-81.91</v>
      </c>
      <c r="J901" s="31">
        <v>33.700000000000003</v>
      </c>
      <c r="P901" s="56" t="s">
        <v>181</v>
      </c>
      <c r="Q901" s="56"/>
      <c r="R901" s="56"/>
      <c r="S901" s="56" t="s">
        <v>1666</v>
      </c>
      <c r="T901" s="56" t="s">
        <v>1644</v>
      </c>
      <c r="X901" s="31" t="s">
        <v>733</v>
      </c>
      <c r="Y901" s="31">
        <v>5.5</v>
      </c>
      <c r="Z901" s="31">
        <v>0.72</v>
      </c>
      <c r="AB901" s="31" t="s">
        <v>1562</v>
      </c>
      <c r="AC901" s="31" t="s">
        <v>150</v>
      </c>
      <c r="AD901" s="153" t="str">
        <f t="shared" si="228"/>
        <v>Wheat</v>
      </c>
      <c r="AE901" s="31" t="s">
        <v>277</v>
      </c>
      <c r="AP901" s="31" t="s">
        <v>154</v>
      </c>
      <c r="AQ901" s="31">
        <v>4</v>
      </c>
      <c r="AR901" s="31">
        <v>4</v>
      </c>
      <c r="AS901" s="31" t="s">
        <v>404</v>
      </c>
      <c r="AU901" s="31">
        <v>1775</v>
      </c>
      <c r="AV901" s="31">
        <v>55.46875</v>
      </c>
      <c r="AW901" s="64"/>
      <c r="BH901" s="31">
        <f>0.72</f>
        <v>0.72</v>
      </c>
      <c r="BI901" s="31">
        <v>0.73</v>
      </c>
      <c r="BK901" s="31">
        <v>900</v>
      </c>
      <c r="BL901" s="31">
        <v>1000</v>
      </c>
      <c r="BN901" s="31">
        <v>18</v>
      </c>
      <c r="BO901" s="31">
        <v>14.7</v>
      </c>
      <c r="BT901" s="31">
        <v>5.6</v>
      </c>
      <c r="BU901" s="31">
        <v>5.5</v>
      </c>
      <c r="BW901" s="31" t="s">
        <v>1396</v>
      </c>
      <c r="BX901" s="31" t="s">
        <v>1396</v>
      </c>
      <c r="EW901" s="31">
        <v>99999</v>
      </c>
      <c r="FA901" s="31" t="s">
        <v>741</v>
      </c>
      <c r="FC901" s="31">
        <v>42</v>
      </c>
    </row>
    <row r="902" spans="1:159" s="31" customFormat="1" x14ac:dyDescent="0.25">
      <c r="A902" s="31">
        <v>42</v>
      </c>
      <c r="B902" s="31" t="s">
        <v>731</v>
      </c>
      <c r="C902" s="31" t="s">
        <v>732</v>
      </c>
      <c r="D902" s="31">
        <v>1989</v>
      </c>
      <c r="E902" s="31">
        <v>1988</v>
      </c>
      <c r="F902" s="31" t="s">
        <v>524</v>
      </c>
      <c r="G902" s="31" t="s">
        <v>736</v>
      </c>
      <c r="H902" s="50">
        <v>31.62</v>
      </c>
      <c r="I902" s="31">
        <v>-81.91</v>
      </c>
      <c r="J902" s="31">
        <v>33.700000000000003</v>
      </c>
      <c r="P902" s="56" t="s">
        <v>181</v>
      </c>
      <c r="Q902" s="56"/>
      <c r="R902" s="56"/>
      <c r="S902" s="56" t="s">
        <v>1666</v>
      </c>
      <c r="T902" s="56" t="s">
        <v>1644</v>
      </c>
      <c r="X902" s="31" t="s">
        <v>733</v>
      </c>
      <c r="Y902" s="31">
        <v>5.5</v>
      </c>
      <c r="Z902" s="31">
        <v>0.72</v>
      </c>
      <c r="AB902" s="31" t="s">
        <v>1562</v>
      </c>
      <c r="AC902" s="31" t="s">
        <v>1805</v>
      </c>
      <c r="AD902" s="153" t="str">
        <f t="shared" si="228"/>
        <v>Crimson_clover</v>
      </c>
      <c r="AE902" s="31" t="s">
        <v>277</v>
      </c>
      <c r="AP902" s="31" t="s">
        <v>154</v>
      </c>
      <c r="AQ902" s="31">
        <v>4</v>
      </c>
      <c r="AR902" s="31">
        <v>4</v>
      </c>
      <c r="AS902" s="31" t="s">
        <v>404</v>
      </c>
      <c r="AU902" s="31">
        <v>3544</v>
      </c>
      <c r="AV902" s="31">
        <v>32.814814814814817</v>
      </c>
      <c r="AW902" s="64"/>
      <c r="BH902" s="31">
        <f t="shared" ref="BH902:BH903" si="230">0.72</f>
        <v>0.72</v>
      </c>
      <c r="BI902" s="31">
        <v>0.77</v>
      </c>
      <c r="BK902" s="31">
        <v>900</v>
      </c>
      <c r="BL902" s="31">
        <v>1000</v>
      </c>
      <c r="BN902" s="31">
        <v>18</v>
      </c>
      <c r="BO902" s="31">
        <v>11.5</v>
      </c>
      <c r="BT902" s="31">
        <v>5.6</v>
      </c>
      <c r="BU902" s="31">
        <v>5</v>
      </c>
      <c r="BW902" s="31" t="s">
        <v>1396</v>
      </c>
      <c r="BX902" s="31" t="s">
        <v>1396</v>
      </c>
      <c r="EW902" s="31">
        <v>99999</v>
      </c>
      <c r="FA902" s="31" t="s">
        <v>741</v>
      </c>
      <c r="FC902" s="31">
        <v>42</v>
      </c>
    </row>
    <row r="903" spans="1:159" s="31" customFormat="1" x14ac:dyDescent="0.25">
      <c r="A903" s="31">
        <v>42</v>
      </c>
      <c r="B903" s="31" t="s">
        <v>731</v>
      </c>
      <c r="C903" s="31" t="s">
        <v>732</v>
      </c>
      <c r="D903" s="31">
        <v>1989</v>
      </c>
      <c r="E903" s="31">
        <v>1988</v>
      </c>
      <c r="F903" s="31" t="s">
        <v>524</v>
      </c>
      <c r="G903" s="31" t="s">
        <v>736</v>
      </c>
      <c r="H903" s="50">
        <v>31.62</v>
      </c>
      <c r="I903" s="31">
        <v>-81.91</v>
      </c>
      <c r="J903" s="31">
        <v>33.700000000000003</v>
      </c>
      <c r="P903" s="56" t="s">
        <v>181</v>
      </c>
      <c r="Q903" s="56"/>
      <c r="R903" s="56"/>
      <c r="S903" s="56" t="s">
        <v>1666</v>
      </c>
      <c r="T903" s="56" t="s">
        <v>1644</v>
      </c>
      <c r="X903" s="31" t="s">
        <v>733</v>
      </c>
      <c r="Y903" s="31">
        <v>5.5</v>
      </c>
      <c r="Z903" s="31">
        <v>0.72</v>
      </c>
      <c r="AB903" s="31" t="s">
        <v>1562</v>
      </c>
      <c r="AC903" s="31" t="s">
        <v>301</v>
      </c>
      <c r="AD903" s="153" t="str">
        <f t="shared" si="228"/>
        <v>Vetch</v>
      </c>
      <c r="AE903" s="31" t="s">
        <v>277</v>
      </c>
      <c r="AP903" s="31" t="s">
        <v>154</v>
      </c>
      <c r="AQ903" s="31">
        <v>4</v>
      </c>
      <c r="AR903" s="31">
        <v>4</v>
      </c>
      <c r="AS903" s="31" t="s">
        <v>404</v>
      </c>
      <c r="AU903" s="31">
        <v>3433</v>
      </c>
      <c r="AV903" s="31">
        <v>26.8203125</v>
      </c>
      <c r="AW903" s="64"/>
      <c r="BH903" s="31">
        <f t="shared" si="230"/>
        <v>0.72</v>
      </c>
      <c r="BI903" s="31">
        <v>0.74</v>
      </c>
      <c r="BK903" s="31">
        <v>900</v>
      </c>
      <c r="BL903" s="31">
        <v>1000</v>
      </c>
      <c r="BN903" s="31">
        <v>18</v>
      </c>
      <c r="BO903" s="31">
        <v>12.4</v>
      </c>
      <c r="BT903" s="31">
        <v>5.6</v>
      </c>
      <c r="BU903" s="31">
        <v>5.3</v>
      </c>
      <c r="BW903" s="31" t="s">
        <v>1396</v>
      </c>
      <c r="BX903" s="31" t="s">
        <v>1396</v>
      </c>
      <c r="EW903" s="31">
        <v>99999</v>
      </c>
      <c r="FA903" s="31" t="s">
        <v>741</v>
      </c>
      <c r="FC903" s="31">
        <v>42</v>
      </c>
    </row>
    <row r="904" spans="1:159" s="31" customFormat="1" x14ac:dyDescent="0.25">
      <c r="A904" s="31">
        <v>42</v>
      </c>
      <c r="B904" s="31" t="s">
        <v>731</v>
      </c>
      <c r="C904" s="31" t="s">
        <v>732</v>
      </c>
      <c r="D904" s="31">
        <v>1989</v>
      </c>
      <c r="E904" s="31">
        <v>1988</v>
      </c>
      <c r="F904" s="31" t="s">
        <v>524</v>
      </c>
      <c r="G904" s="31" t="s">
        <v>736</v>
      </c>
      <c r="H904" s="50">
        <v>31.62</v>
      </c>
      <c r="I904" s="31">
        <v>-81.91</v>
      </c>
      <c r="J904" s="31">
        <v>33.700000000000003</v>
      </c>
      <c r="P904" s="56" t="s">
        <v>181</v>
      </c>
      <c r="Q904" s="56"/>
      <c r="R904" s="56"/>
      <c r="S904" s="56" t="s">
        <v>1657</v>
      </c>
      <c r="T904" s="56" t="s">
        <v>1644</v>
      </c>
      <c r="X904" s="31" t="s">
        <v>733</v>
      </c>
      <c r="Y904" s="31">
        <v>5.5</v>
      </c>
      <c r="Z904" s="31">
        <v>0.72</v>
      </c>
      <c r="AB904" s="31" t="s">
        <v>1562</v>
      </c>
      <c r="AC904" s="31" t="s">
        <v>150</v>
      </c>
      <c r="AD904" s="153" t="str">
        <f t="shared" si="228"/>
        <v>Wheat</v>
      </c>
      <c r="AE904" s="31" t="s">
        <v>277</v>
      </c>
      <c r="AP904" s="31" t="s">
        <v>154</v>
      </c>
      <c r="AQ904" s="31">
        <v>4</v>
      </c>
      <c r="AR904" s="31">
        <v>4</v>
      </c>
      <c r="AS904" s="31" t="s">
        <v>404</v>
      </c>
      <c r="AU904" s="31">
        <v>1775</v>
      </c>
      <c r="AV904" s="31">
        <v>55.46875</v>
      </c>
      <c r="AW904" s="64"/>
      <c r="BH904" s="31">
        <v>0.68</v>
      </c>
      <c r="BI904" s="31">
        <v>0.66</v>
      </c>
      <c r="BK904" s="31">
        <v>900</v>
      </c>
      <c r="BL904" s="31">
        <v>900</v>
      </c>
      <c r="BN904" s="31">
        <v>16</v>
      </c>
      <c r="BO904" s="31">
        <v>14.4</v>
      </c>
      <c r="BT904" s="31">
        <v>6</v>
      </c>
      <c r="BU904" s="31">
        <v>5.9</v>
      </c>
      <c r="BW904" s="31" t="s">
        <v>1396</v>
      </c>
      <c r="BX904" s="31" t="s">
        <v>1396</v>
      </c>
      <c r="EW904" s="31">
        <v>99999</v>
      </c>
      <c r="FA904" s="31" t="s">
        <v>741</v>
      </c>
      <c r="FC904" s="31">
        <v>42</v>
      </c>
    </row>
    <row r="905" spans="1:159" s="31" customFormat="1" x14ac:dyDescent="0.25">
      <c r="A905" s="31">
        <v>42</v>
      </c>
      <c r="B905" s="31" t="s">
        <v>731</v>
      </c>
      <c r="C905" s="31" t="s">
        <v>732</v>
      </c>
      <c r="D905" s="31">
        <v>1989</v>
      </c>
      <c r="E905" s="31">
        <v>1988</v>
      </c>
      <c r="F905" s="31" t="s">
        <v>524</v>
      </c>
      <c r="G905" s="31" t="s">
        <v>736</v>
      </c>
      <c r="H905" s="50">
        <v>31.62</v>
      </c>
      <c r="I905" s="31">
        <v>-81.91</v>
      </c>
      <c r="J905" s="31">
        <v>33.700000000000003</v>
      </c>
      <c r="P905" s="56" t="s">
        <v>181</v>
      </c>
      <c r="Q905" s="56"/>
      <c r="R905" s="56"/>
      <c r="S905" s="62" t="s">
        <v>1657</v>
      </c>
      <c r="T905" s="62" t="s">
        <v>1644</v>
      </c>
      <c r="X905" s="31" t="s">
        <v>733</v>
      </c>
      <c r="Y905" s="31">
        <v>5.5</v>
      </c>
      <c r="Z905" s="31">
        <v>0.72</v>
      </c>
      <c r="AB905" s="31" t="s">
        <v>1562</v>
      </c>
      <c r="AC905" s="31" t="s">
        <v>1805</v>
      </c>
      <c r="AD905" s="153" t="str">
        <f t="shared" si="228"/>
        <v>Crimson_clover</v>
      </c>
      <c r="AE905" s="31" t="s">
        <v>277</v>
      </c>
      <c r="AP905" s="31" t="s">
        <v>154</v>
      </c>
      <c r="AQ905" s="31">
        <v>4</v>
      </c>
      <c r="AR905" s="31">
        <v>4</v>
      </c>
      <c r="AS905" s="31" t="s">
        <v>404</v>
      </c>
      <c r="AU905" s="31">
        <v>3544</v>
      </c>
      <c r="AV905" s="31">
        <v>32.814814814814817</v>
      </c>
      <c r="AW905" s="64"/>
      <c r="BH905" s="31">
        <v>0.68</v>
      </c>
      <c r="BI905" s="31">
        <v>0.71</v>
      </c>
      <c r="BK905" s="31">
        <v>900</v>
      </c>
      <c r="BL905" s="31">
        <v>900</v>
      </c>
      <c r="BN905" s="31">
        <v>16</v>
      </c>
      <c r="BO905" s="31">
        <v>10.5</v>
      </c>
      <c r="BT905" s="31">
        <v>6</v>
      </c>
      <c r="BU905" s="31">
        <v>5.5</v>
      </c>
      <c r="BW905" s="31" t="s">
        <v>1396</v>
      </c>
      <c r="BX905" s="31" t="s">
        <v>1396</v>
      </c>
      <c r="EW905" s="31">
        <v>99999</v>
      </c>
      <c r="FA905" s="31" t="s">
        <v>741</v>
      </c>
      <c r="FC905" s="31">
        <v>42</v>
      </c>
    </row>
    <row r="906" spans="1:159" s="31" customFormat="1" x14ac:dyDescent="0.25">
      <c r="A906" s="31">
        <v>42</v>
      </c>
      <c r="B906" s="31" t="s">
        <v>731</v>
      </c>
      <c r="C906" s="31" t="s">
        <v>732</v>
      </c>
      <c r="D906" s="31">
        <v>1989</v>
      </c>
      <c r="E906" s="31">
        <v>1988</v>
      </c>
      <c r="F906" s="31" t="s">
        <v>524</v>
      </c>
      <c r="G906" s="31" t="s">
        <v>736</v>
      </c>
      <c r="H906" s="50">
        <v>31.62</v>
      </c>
      <c r="I906" s="31">
        <v>-81.91</v>
      </c>
      <c r="J906" s="31">
        <v>33.700000000000003</v>
      </c>
      <c r="P906" s="56" t="s">
        <v>181</v>
      </c>
      <c r="Q906" s="56"/>
      <c r="R906" s="56"/>
      <c r="S906" s="62" t="s">
        <v>1657</v>
      </c>
      <c r="T906" s="62" t="s">
        <v>1644</v>
      </c>
      <c r="X906" s="31" t="s">
        <v>733</v>
      </c>
      <c r="Y906" s="31">
        <v>5.5</v>
      </c>
      <c r="Z906" s="31">
        <v>0.72</v>
      </c>
      <c r="AB906" s="31" t="s">
        <v>1562</v>
      </c>
      <c r="AC906" s="31" t="s">
        <v>301</v>
      </c>
      <c r="AD906" s="153" t="str">
        <f t="shared" si="228"/>
        <v>Vetch</v>
      </c>
      <c r="AE906" s="31" t="s">
        <v>277</v>
      </c>
      <c r="AP906" s="31" t="s">
        <v>154</v>
      </c>
      <c r="AQ906" s="31">
        <v>4</v>
      </c>
      <c r="AR906" s="31">
        <v>4</v>
      </c>
      <c r="AS906" s="31" t="s">
        <v>404</v>
      </c>
      <c r="AU906" s="31">
        <v>3433</v>
      </c>
      <c r="AV906" s="31">
        <v>26.8203125</v>
      </c>
      <c r="AW906" s="64"/>
      <c r="BH906" s="31">
        <v>0.68</v>
      </c>
      <c r="BI906" s="31">
        <v>0.67</v>
      </c>
      <c r="BK906" s="31">
        <v>900</v>
      </c>
      <c r="BL906" s="31">
        <v>900</v>
      </c>
      <c r="BN906" s="31">
        <v>16</v>
      </c>
      <c r="BO906" s="31">
        <v>10.8</v>
      </c>
      <c r="BT906" s="31">
        <v>6</v>
      </c>
      <c r="BU906" s="31">
        <v>5.9</v>
      </c>
      <c r="BW906" s="31" t="s">
        <v>1396</v>
      </c>
      <c r="BX906" s="31" t="s">
        <v>1396</v>
      </c>
      <c r="EW906" s="31">
        <v>99999</v>
      </c>
      <c r="FA906" s="31" t="s">
        <v>741</v>
      </c>
      <c r="FC906" s="31">
        <v>42</v>
      </c>
    </row>
    <row r="907" spans="1:159" s="39" customFormat="1" x14ac:dyDescent="0.25">
      <c r="A907" s="39">
        <v>43</v>
      </c>
      <c r="B907" s="39" t="s">
        <v>746</v>
      </c>
      <c r="C907" s="39" t="s">
        <v>747</v>
      </c>
      <c r="D907" s="39">
        <v>1999</v>
      </c>
      <c r="E907" s="39">
        <v>1995</v>
      </c>
      <c r="F907" s="39" t="s">
        <v>524</v>
      </c>
      <c r="G907" s="39" t="s">
        <v>163</v>
      </c>
      <c r="H907" s="39">
        <v>45.231000000000002</v>
      </c>
      <c r="I907" s="39">
        <v>-122.756</v>
      </c>
      <c r="J907" s="39">
        <v>48.4</v>
      </c>
      <c r="N907" s="39">
        <v>1040</v>
      </c>
      <c r="O907" s="39" t="s">
        <v>169</v>
      </c>
      <c r="P907" s="58" t="s">
        <v>179</v>
      </c>
      <c r="Q907" s="58"/>
      <c r="R907" s="58" t="s">
        <v>286</v>
      </c>
      <c r="S907" s="58" t="s">
        <v>1644</v>
      </c>
      <c r="T907" s="58" t="s">
        <v>1644</v>
      </c>
      <c r="V907" s="39">
        <v>31.3</v>
      </c>
      <c r="W907" s="39">
        <v>54</v>
      </c>
      <c r="X907" s="39" t="s">
        <v>168</v>
      </c>
      <c r="AB907" s="39" t="s">
        <v>1575</v>
      </c>
      <c r="AC907" s="39" t="s">
        <v>749</v>
      </c>
      <c r="AD907" s="153" t="str">
        <f t="shared" si="228"/>
        <v>Cereal</v>
      </c>
      <c r="AE907" s="39" t="s">
        <v>1638</v>
      </c>
      <c r="AG907" s="39" t="s">
        <v>748</v>
      </c>
      <c r="AH907" s="39" t="s">
        <v>748</v>
      </c>
      <c r="AI907" s="39" t="s">
        <v>230</v>
      </c>
      <c r="AP907" s="39" t="s">
        <v>154</v>
      </c>
      <c r="AQ907" s="39">
        <v>4</v>
      </c>
      <c r="AR907" s="39">
        <v>4</v>
      </c>
      <c r="AS907" s="39" t="s">
        <v>177</v>
      </c>
      <c r="BH907" s="39">
        <f>18.3/10</f>
        <v>1.83</v>
      </c>
      <c r="BI907" s="39">
        <v>1.66</v>
      </c>
      <c r="BJ907" s="39" t="s">
        <v>750</v>
      </c>
      <c r="BM907" s="39" t="s">
        <v>751</v>
      </c>
      <c r="DS907" s="39">
        <v>52.5</v>
      </c>
      <c r="DT907" s="39">
        <v>56.5</v>
      </c>
      <c r="DU907" s="39" t="s">
        <v>755</v>
      </c>
      <c r="DV907" s="39">
        <v>62.1</v>
      </c>
      <c r="DW907" s="39">
        <v>59.3</v>
      </c>
      <c r="EQ907" s="39">
        <v>135</v>
      </c>
      <c r="ER907" s="39">
        <v>196</v>
      </c>
      <c r="ES907" s="39" t="s">
        <v>752</v>
      </c>
      <c r="FA907" s="39" t="s">
        <v>756</v>
      </c>
      <c r="FC907" s="39">
        <v>43</v>
      </c>
    </row>
    <row r="908" spans="1:159" s="39" customFormat="1" x14ac:dyDescent="0.25">
      <c r="A908" s="39">
        <v>43</v>
      </c>
      <c r="B908" s="39" t="s">
        <v>746</v>
      </c>
      <c r="C908" s="39" t="s">
        <v>747</v>
      </c>
      <c r="D908" s="39">
        <v>1999</v>
      </c>
      <c r="E908" s="39">
        <v>1995</v>
      </c>
      <c r="F908" s="39" t="s">
        <v>524</v>
      </c>
      <c r="G908" s="39" t="s">
        <v>163</v>
      </c>
      <c r="H908" s="39">
        <v>45.231000000000002</v>
      </c>
      <c r="I908" s="39">
        <v>-122.756</v>
      </c>
      <c r="J908" s="39">
        <v>48.4</v>
      </c>
      <c r="N908" s="39">
        <v>1040</v>
      </c>
      <c r="O908" s="39" t="s">
        <v>169</v>
      </c>
      <c r="P908" s="58" t="s">
        <v>179</v>
      </c>
      <c r="Q908" s="58"/>
      <c r="R908" s="58" t="s">
        <v>286</v>
      </c>
      <c r="S908" s="58" t="s">
        <v>1644</v>
      </c>
      <c r="T908" s="58" t="s">
        <v>1644</v>
      </c>
      <c r="V908" s="39">
        <v>31.3</v>
      </c>
      <c r="W908" s="39">
        <v>54</v>
      </c>
      <c r="X908" s="39" t="s">
        <v>168</v>
      </c>
      <c r="AB908" s="39" t="s">
        <v>1575</v>
      </c>
      <c r="AC908" s="39" t="s">
        <v>698</v>
      </c>
      <c r="AD908" s="153" t="str">
        <f t="shared" si="228"/>
        <v>Legume</v>
      </c>
      <c r="AE908" s="39" t="s">
        <v>1638</v>
      </c>
      <c r="AG908" s="39" t="s">
        <v>748</v>
      </c>
      <c r="AH908" s="39" t="s">
        <v>748</v>
      </c>
      <c r="AI908" s="39" t="s">
        <v>230</v>
      </c>
      <c r="AP908" s="39" t="s">
        <v>154</v>
      </c>
      <c r="AQ908" s="39">
        <v>4</v>
      </c>
      <c r="AR908" s="39">
        <v>4</v>
      </c>
      <c r="AS908" s="39" t="s">
        <v>177</v>
      </c>
      <c r="BH908" s="39">
        <f>18.3/10</f>
        <v>1.83</v>
      </c>
      <c r="BI908" s="39">
        <v>1.76</v>
      </c>
      <c r="BJ908" s="39" t="s">
        <v>750</v>
      </c>
      <c r="BM908" s="39" t="s">
        <v>751</v>
      </c>
      <c r="DS908" s="39">
        <v>52.5</v>
      </c>
      <c r="DT908" s="39">
        <v>64.900000000000006</v>
      </c>
      <c r="DU908" s="39" t="s">
        <v>755</v>
      </c>
      <c r="DV908" s="39">
        <v>62.1</v>
      </c>
      <c r="DW908" s="39">
        <v>62.1</v>
      </c>
      <c r="EQ908" s="39">
        <v>135</v>
      </c>
      <c r="ER908" s="39">
        <v>206</v>
      </c>
      <c r="ES908" s="39" t="s">
        <v>752</v>
      </c>
      <c r="FA908" s="39" t="s">
        <v>756</v>
      </c>
      <c r="FC908" s="39">
        <v>43</v>
      </c>
    </row>
    <row r="909" spans="1:159" s="26" customFormat="1" x14ac:dyDescent="0.25">
      <c r="A909" s="26">
        <v>43</v>
      </c>
      <c r="B909" s="26" t="s">
        <v>746</v>
      </c>
      <c r="C909" s="26" t="s">
        <v>747</v>
      </c>
      <c r="D909" s="26">
        <v>1999</v>
      </c>
      <c r="E909" s="26">
        <v>1996</v>
      </c>
      <c r="F909" s="26" t="s">
        <v>524</v>
      </c>
      <c r="G909" s="26" t="s">
        <v>163</v>
      </c>
      <c r="H909" s="26">
        <v>45.231000000000002</v>
      </c>
      <c r="I909" s="26">
        <v>-122.756</v>
      </c>
      <c r="J909" s="26">
        <v>48.4</v>
      </c>
      <c r="N909" s="26">
        <v>1040</v>
      </c>
      <c r="O909" s="26" t="s">
        <v>169</v>
      </c>
      <c r="P909" s="52" t="s">
        <v>180</v>
      </c>
      <c r="Q909" s="52"/>
      <c r="R909" s="52" t="s">
        <v>722</v>
      </c>
      <c r="S909" s="52" t="s">
        <v>1644</v>
      </c>
      <c r="T909" s="52" t="s">
        <v>1644</v>
      </c>
      <c r="V909" s="26">
        <v>31.3</v>
      </c>
      <c r="W909" s="26">
        <v>54</v>
      </c>
      <c r="X909" s="26" t="s">
        <v>168</v>
      </c>
      <c r="AB909" s="26" t="s">
        <v>1575</v>
      </c>
      <c r="AC909" s="26" t="s">
        <v>749</v>
      </c>
      <c r="AD909" s="153" t="str">
        <f t="shared" si="228"/>
        <v>Cereal</v>
      </c>
      <c r="AE909" s="26" t="s">
        <v>1638</v>
      </c>
      <c r="AG909" s="26" t="s">
        <v>748</v>
      </c>
      <c r="AH909" s="26" t="s">
        <v>748</v>
      </c>
      <c r="AI909" s="26" t="s">
        <v>230</v>
      </c>
      <c r="AP909" s="26" t="s">
        <v>154</v>
      </c>
      <c r="AQ909" s="26">
        <v>4</v>
      </c>
      <c r="AR909" s="26">
        <v>4</v>
      </c>
      <c r="AS909" s="26" t="s">
        <v>177</v>
      </c>
      <c r="BH909" s="26">
        <v>1.64</v>
      </c>
      <c r="BI909" s="26">
        <v>1.46</v>
      </c>
      <c r="BJ909" s="26" t="s">
        <v>750</v>
      </c>
      <c r="BK909" s="26">
        <v>839</v>
      </c>
      <c r="BL909" s="26">
        <v>718</v>
      </c>
      <c r="BM909" s="26" t="s">
        <v>751</v>
      </c>
      <c r="DS909" s="26">
        <v>51.9</v>
      </c>
      <c r="DT909" s="26">
        <v>64.8</v>
      </c>
      <c r="DU909" s="26" t="s">
        <v>755</v>
      </c>
      <c r="DV909" s="26">
        <v>30.3</v>
      </c>
      <c r="DW909" s="26">
        <v>47.6</v>
      </c>
      <c r="DY909" s="26">
        <v>10.4</v>
      </c>
      <c r="DZ909" s="26">
        <v>16.600000000000001</v>
      </c>
      <c r="EQ909" s="26">
        <v>109</v>
      </c>
      <c r="ER909" s="26">
        <v>91</v>
      </c>
      <c r="ES909" s="26" t="s">
        <v>752</v>
      </c>
      <c r="FA909" s="26" t="s">
        <v>756</v>
      </c>
      <c r="FC909" s="26">
        <v>43</v>
      </c>
    </row>
    <row r="910" spans="1:159" s="26" customFormat="1" x14ac:dyDescent="0.25">
      <c r="A910" s="26">
        <v>43</v>
      </c>
      <c r="B910" s="26" t="s">
        <v>746</v>
      </c>
      <c r="C910" s="26" t="s">
        <v>747</v>
      </c>
      <c r="D910" s="26">
        <v>1999</v>
      </c>
      <c r="E910" s="26">
        <v>1996</v>
      </c>
      <c r="F910" s="26" t="s">
        <v>524</v>
      </c>
      <c r="G910" s="26" t="s">
        <v>163</v>
      </c>
      <c r="H910" s="26">
        <v>45.231000000000002</v>
      </c>
      <c r="I910" s="26">
        <v>-122.756</v>
      </c>
      <c r="J910" s="26">
        <v>48.4</v>
      </c>
      <c r="N910" s="26">
        <v>1040</v>
      </c>
      <c r="O910" s="26" t="s">
        <v>169</v>
      </c>
      <c r="P910" s="52" t="s">
        <v>180</v>
      </c>
      <c r="Q910" s="52"/>
      <c r="R910" s="52" t="s">
        <v>722</v>
      </c>
      <c r="S910" s="52" t="s">
        <v>1644</v>
      </c>
      <c r="T910" s="52" t="s">
        <v>1644</v>
      </c>
      <c r="V910" s="26">
        <v>31.3</v>
      </c>
      <c r="W910" s="26">
        <v>54</v>
      </c>
      <c r="X910" s="26" t="s">
        <v>168</v>
      </c>
      <c r="AB910" s="26" t="s">
        <v>1575</v>
      </c>
      <c r="AC910" s="26" t="s">
        <v>698</v>
      </c>
      <c r="AD910" s="153" t="str">
        <f t="shared" si="228"/>
        <v>Legume</v>
      </c>
      <c r="AE910" s="26" t="s">
        <v>1638</v>
      </c>
      <c r="AG910" s="26" t="s">
        <v>748</v>
      </c>
      <c r="AH910" s="26" t="s">
        <v>748</v>
      </c>
      <c r="AI910" s="26" t="s">
        <v>230</v>
      </c>
      <c r="AP910" s="26" t="s">
        <v>154</v>
      </c>
      <c r="AQ910" s="26">
        <v>4</v>
      </c>
      <c r="AR910" s="26">
        <v>4</v>
      </c>
      <c r="AS910" s="26" t="s">
        <v>177</v>
      </c>
      <c r="BH910" s="26">
        <v>1.64</v>
      </c>
      <c r="BI910" s="26">
        <v>1.63</v>
      </c>
      <c r="BJ910" s="26" t="s">
        <v>750</v>
      </c>
      <c r="BK910" s="26">
        <v>839</v>
      </c>
      <c r="BL910" s="26">
        <v>753</v>
      </c>
      <c r="BM910" s="26" t="s">
        <v>751</v>
      </c>
      <c r="DS910" s="26">
        <v>51.9</v>
      </c>
      <c r="DT910" s="26">
        <v>73.099999999999994</v>
      </c>
      <c r="DU910" s="26" t="s">
        <v>755</v>
      </c>
      <c r="DV910" s="26">
        <v>30.3</v>
      </c>
      <c r="DW910" s="26">
        <v>45.4</v>
      </c>
      <c r="DY910" s="26">
        <v>10.4</v>
      </c>
      <c r="DZ910" s="26">
        <v>13.4</v>
      </c>
      <c r="EQ910" s="26">
        <v>109</v>
      </c>
      <c r="ER910" s="26">
        <v>104</v>
      </c>
      <c r="ES910" s="26" t="s">
        <v>752</v>
      </c>
      <c r="FA910" s="26" t="s">
        <v>756</v>
      </c>
      <c r="FC910" s="26">
        <v>43</v>
      </c>
    </row>
    <row r="911" spans="1:159" s="26" customFormat="1" x14ac:dyDescent="0.25">
      <c r="A911" s="26">
        <v>43</v>
      </c>
      <c r="B911" s="26" t="s">
        <v>746</v>
      </c>
      <c r="C911" s="26" t="s">
        <v>747</v>
      </c>
      <c r="D911" s="26">
        <v>1999</v>
      </c>
      <c r="E911" s="26">
        <v>1996</v>
      </c>
      <c r="F911" s="26" t="s">
        <v>524</v>
      </c>
      <c r="G911" s="26" t="s">
        <v>163</v>
      </c>
      <c r="H911" s="26">
        <v>45.231000000000002</v>
      </c>
      <c r="I911" s="26">
        <v>-122.756</v>
      </c>
      <c r="J911" s="26">
        <v>48.4</v>
      </c>
      <c r="N911" s="26">
        <v>1040</v>
      </c>
      <c r="O911" s="26" t="s">
        <v>169</v>
      </c>
      <c r="P911" s="52" t="s">
        <v>180</v>
      </c>
      <c r="Q911" s="52"/>
      <c r="R911" s="52" t="s">
        <v>286</v>
      </c>
      <c r="S911" s="52" t="s">
        <v>1644</v>
      </c>
      <c r="T911" s="52" t="s">
        <v>1644</v>
      </c>
      <c r="V911" s="26">
        <v>31.3</v>
      </c>
      <c r="W911" s="26">
        <v>54</v>
      </c>
      <c r="X911" s="26" t="s">
        <v>168</v>
      </c>
      <c r="AB911" s="26" t="s">
        <v>1575</v>
      </c>
      <c r="AC911" s="26" t="s">
        <v>749</v>
      </c>
      <c r="AD911" s="153" t="str">
        <f t="shared" si="228"/>
        <v>Cereal</v>
      </c>
      <c r="AE911" s="26" t="s">
        <v>1638</v>
      </c>
      <c r="AG911" s="26" t="s">
        <v>748</v>
      </c>
      <c r="AH911" s="26" t="s">
        <v>748</v>
      </c>
      <c r="AI911" s="26" t="s">
        <v>230</v>
      </c>
      <c r="AP911" s="26" t="s">
        <v>154</v>
      </c>
      <c r="AQ911" s="26">
        <v>4</v>
      </c>
      <c r="AR911" s="26">
        <v>4</v>
      </c>
      <c r="AS911" s="26" t="s">
        <v>177</v>
      </c>
      <c r="BH911" s="26">
        <v>1.75</v>
      </c>
      <c r="BI911" s="26">
        <v>1.43</v>
      </c>
      <c r="BJ911" s="26" t="s">
        <v>750</v>
      </c>
      <c r="BK911" s="26">
        <v>843</v>
      </c>
      <c r="BL911" s="26">
        <v>792</v>
      </c>
      <c r="BM911" s="26" t="s">
        <v>751</v>
      </c>
      <c r="DS911" s="26">
        <v>77.400000000000006</v>
      </c>
      <c r="DT911" s="26">
        <v>109.2</v>
      </c>
      <c r="DU911" s="26" t="s">
        <v>755</v>
      </c>
      <c r="DV911" s="26">
        <v>43.3</v>
      </c>
      <c r="DW911" s="26">
        <v>48.4</v>
      </c>
      <c r="DY911" s="26">
        <v>7.1</v>
      </c>
      <c r="DZ911" s="26">
        <v>8.3000000000000007</v>
      </c>
      <c r="EQ911" s="26">
        <v>112</v>
      </c>
      <c r="ER911" s="26">
        <v>115</v>
      </c>
      <c r="ES911" s="26" t="s">
        <v>752</v>
      </c>
      <c r="FA911" s="26" t="s">
        <v>756</v>
      </c>
      <c r="FC911" s="26">
        <v>43</v>
      </c>
    </row>
    <row r="912" spans="1:159" s="26" customFormat="1" x14ac:dyDescent="0.25">
      <c r="A912" s="26">
        <v>43</v>
      </c>
      <c r="B912" s="26" t="s">
        <v>746</v>
      </c>
      <c r="C912" s="26" t="s">
        <v>747</v>
      </c>
      <c r="D912" s="26">
        <v>1999</v>
      </c>
      <c r="E912" s="26">
        <v>1996</v>
      </c>
      <c r="F912" s="26" t="s">
        <v>524</v>
      </c>
      <c r="G912" s="26" t="s">
        <v>163</v>
      </c>
      <c r="H912" s="26">
        <v>45.231000000000002</v>
      </c>
      <c r="I912" s="26">
        <v>-122.756</v>
      </c>
      <c r="J912" s="26">
        <v>48.4</v>
      </c>
      <c r="N912" s="26">
        <v>1040</v>
      </c>
      <c r="O912" s="26" t="s">
        <v>169</v>
      </c>
      <c r="P912" s="52" t="s">
        <v>180</v>
      </c>
      <c r="Q912" s="52"/>
      <c r="R912" s="52" t="s">
        <v>286</v>
      </c>
      <c r="S912" s="52" t="s">
        <v>1644</v>
      </c>
      <c r="T912" s="52" t="s">
        <v>1644</v>
      </c>
      <c r="V912" s="26">
        <v>31.3</v>
      </c>
      <c r="W912" s="26">
        <v>54</v>
      </c>
      <c r="X912" s="26" t="s">
        <v>168</v>
      </c>
      <c r="AB912" s="26" t="s">
        <v>1575</v>
      </c>
      <c r="AC912" s="26" t="s">
        <v>698</v>
      </c>
      <c r="AD912" s="153" t="str">
        <f t="shared" si="228"/>
        <v>Legume</v>
      </c>
      <c r="AE912" s="26" t="s">
        <v>1638</v>
      </c>
      <c r="AG912" s="26" t="s">
        <v>748</v>
      </c>
      <c r="AH912" s="26" t="s">
        <v>748</v>
      </c>
      <c r="AI912" s="26" t="s">
        <v>230</v>
      </c>
      <c r="AP912" s="26" t="s">
        <v>154</v>
      </c>
      <c r="AQ912" s="26">
        <v>4</v>
      </c>
      <c r="AR912" s="26">
        <v>4</v>
      </c>
      <c r="AS912" s="26" t="s">
        <v>177</v>
      </c>
      <c r="BH912" s="26">
        <v>1.75</v>
      </c>
      <c r="BI912" s="26">
        <v>1.73</v>
      </c>
      <c r="BJ912" s="26" t="s">
        <v>750</v>
      </c>
      <c r="BK912" s="26">
        <v>843</v>
      </c>
      <c r="BL912" s="26">
        <v>809</v>
      </c>
      <c r="BM912" s="26" t="s">
        <v>751</v>
      </c>
      <c r="DS912" s="26">
        <v>77.400000000000006</v>
      </c>
      <c r="DT912" s="26">
        <v>115.2</v>
      </c>
      <c r="DU912" s="26" t="s">
        <v>755</v>
      </c>
      <c r="DV912" s="26">
        <v>43.3</v>
      </c>
      <c r="DW912" s="26">
        <v>59</v>
      </c>
      <c r="DY912" s="26">
        <v>7.1</v>
      </c>
      <c r="DZ912" s="26">
        <v>9.6999999999999993</v>
      </c>
      <c r="EQ912" s="26">
        <v>112</v>
      </c>
      <c r="ER912" s="26">
        <v>124</v>
      </c>
      <c r="ES912" s="26" t="s">
        <v>752</v>
      </c>
      <c r="FA912" s="26" t="s">
        <v>756</v>
      </c>
      <c r="FC912" s="26">
        <v>43</v>
      </c>
    </row>
    <row r="913" spans="1:159" s="31" customFormat="1" x14ac:dyDescent="0.25">
      <c r="A913" s="31">
        <v>44</v>
      </c>
      <c r="B913" s="31" t="s">
        <v>757</v>
      </c>
      <c r="C913" s="31" t="s">
        <v>758</v>
      </c>
      <c r="D913" s="31">
        <v>2000</v>
      </c>
      <c r="E913" s="31">
        <v>1996</v>
      </c>
      <c r="F913" s="31" t="s">
        <v>759</v>
      </c>
      <c r="G913" s="31" t="s">
        <v>760</v>
      </c>
      <c r="H913" s="31">
        <v>45.01</v>
      </c>
      <c r="I913" s="31">
        <v>-122.78</v>
      </c>
      <c r="J913" s="31">
        <v>78.5</v>
      </c>
      <c r="N913" s="31">
        <v>1040</v>
      </c>
      <c r="O913" s="31" t="s">
        <v>169</v>
      </c>
      <c r="P913" s="56" t="s">
        <v>179</v>
      </c>
      <c r="Q913" s="56"/>
      <c r="R913" s="56"/>
      <c r="S913" s="56" t="s">
        <v>1645</v>
      </c>
      <c r="T913" s="56" t="s">
        <v>1645</v>
      </c>
      <c r="V913" s="31">
        <v>7</v>
      </c>
      <c r="W913" s="31">
        <v>67</v>
      </c>
      <c r="X913" s="31" t="s">
        <v>764</v>
      </c>
      <c r="AB913" s="31" t="s">
        <v>1524</v>
      </c>
      <c r="AC913" s="31" t="s">
        <v>166</v>
      </c>
      <c r="AD913" s="153" t="str">
        <f t="shared" si="228"/>
        <v>Rye</v>
      </c>
      <c r="AE913" s="31" t="s">
        <v>767</v>
      </c>
      <c r="AG913" s="31" t="s">
        <v>772</v>
      </c>
      <c r="AH913" s="31" t="s">
        <v>772</v>
      </c>
      <c r="AI913" s="31" t="s">
        <v>230</v>
      </c>
      <c r="AP913" s="31" t="s">
        <v>154</v>
      </c>
      <c r="AQ913" s="31">
        <v>4</v>
      </c>
      <c r="AR913" s="31">
        <v>4</v>
      </c>
      <c r="AS913" s="31" t="s">
        <v>404</v>
      </c>
      <c r="BH913" s="31">
        <v>1.95</v>
      </c>
      <c r="BI913" s="31">
        <v>1.9300000000000002</v>
      </c>
      <c r="BJ913" s="31" t="s">
        <v>1106</v>
      </c>
      <c r="BK913" s="31">
        <f>1.6*1000</f>
        <v>1600</v>
      </c>
      <c r="BL913" s="31">
        <v>1700</v>
      </c>
      <c r="BQ913" s="31">
        <f>0.69*390</f>
        <v>269.09999999999997</v>
      </c>
      <c r="BR913" s="31">
        <f>0.65*390</f>
        <v>253.5</v>
      </c>
      <c r="BT913" s="31">
        <v>5.74</v>
      </c>
      <c r="BU913" s="31">
        <v>5.74</v>
      </c>
      <c r="BW913" s="31">
        <v>26.32</v>
      </c>
      <c r="BX913" s="31">
        <v>27.04</v>
      </c>
      <c r="CC913" s="31">
        <v>11.82</v>
      </c>
      <c r="CD913" s="31">
        <v>11.63</v>
      </c>
      <c r="CE913" s="31" t="s">
        <v>777</v>
      </c>
      <c r="FA913" s="31" t="s">
        <v>796</v>
      </c>
      <c r="FB913" s="31" t="s">
        <v>936</v>
      </c>
      <c r="FC913" s="31">
        <v>44</v>
      </c>
    </row>
    <row r="914" spans="1:159" s="31" customFormat="1" x14ac:dyDescent="0.25">
      <c r="A914" s="31">
        <v>44</v>
      </c>
      <c r="B914" s="31" t="s">
        <v>757</v>
      </c>
      <c r="C914" s="31" t="s">
        <v>758</v>
      </c>
      <c r="D914" s="31">
        <v>2000</v>
      </c>
      <c r="E914" s="31">
        <v>1996</v>
      </c>
      <c r="F914" s="31" t="s">
        <v>759</v>
      </c>
      <c r="G914" s="31" t="s">
        <v>761</v>
      </c>
      <c r="H914" s="31">
        <v>44.94</v>
      </c>
      <c r="I914" s="31">
        <v>-123.04</v>
      </c>
      <c r="J914" s="31">
        <v>49.3</v>
      </c>
      <c r="N914" s="31">
        <v>1040</v>
      </c>
      <c r="O914" s="31" t="s">
        <v>169</v>
      </c>
      <c r="P914" s="56" t="s">
        <v>179</v>
      </c>
      <c r="Q914" s="56"/>
      <c r="R914" s="56"/>
      <c r="S914" s="56" t="s">
        <v>1645</v>
      </c>
      <c r="T914" s="56" t="s">
        <v>1645</v>
      </c>
      <c r="V914" s="31">
        <v>43</v>
      </c>
      <c r="W914" s="31">
        <v>41</v>
      </c>
      <c r="X914" s="31" t="s">
        <v>175</v>
      </c>
      <c r="AB914" s="31" t="s">
        <v>1524</v>
      </c>
      <c r="AC914" s="31" t="s">
        <v>1860</v>
      </c>
      <c r="AD914" s="153" t="str">
        <f t="shared" si="228"/>
        <v>Barley/Vetch</v>
      </c>
      <c r="AE914" s="31" t="s">
        <v>167</v>
      </c>
      <c r="AG914" s="31" t="s">
        <v>773</v>
      </c>
      <c r="AH914" s="31" t="s">
        <v>773</v>
      </c>
      <c r="AI914" s="31" t="s">
        <v>230</v>
      </c>
      <c r="AP914" s="31" t="s">
        <v>154</v>
      </c>
      <c r="AQ914" s="31">
        <v>4</v>
      </c>
      <c r="AR914" s="31">
        <v>4</v>
      </c>
      <c r="AS914" s="31" t="s">
        <v>404</v>
      </c>
      <c r="BH914" s="31">
        <v>1.95</v>
      </c>
      <c r="BI914" s="31">
        <v>1.9300000000000002</v>
      </c>
      <c r="BJ914" s="31" t="s">
        <v>1106</v>
      </c>
      <c r="BK914" s="31">
        <f t="shared" ref="BK914:BK916" si="231">1.6*1000</f>
        <v>1600</v>
      </c>
      <c r="BL914" s="31">
        <v>1700</v>
      </c>
      <c r="BQ914" s="31">
        <f t="shared" ref="BQ914:BQ916" si="232">0.69*390</f>
        <v>269.09999999999997</v>
      </c>
      <c r="BR914" s="31">
        <f t="shared" ref="BR914:BR916" si="233">0.65*390</f>
        <v>253.5</v>
      </c>
      <c r="BT914" s="31">
        <v>5.74</v>
      </c>
      <c r="BU914" s="31">
        <v>5.74</v>
      </c>
      <c r="BW914" s="31">
        <v>26.32</v>
      </c>
      <c r="BX914" s="31">
        <v>27.04</v>
      </c>
      <c r="CC914" s="31">
        <v>11.82</v>
      </c>
      <c r="CD914" s="31">
        <v>11.63</v>
      </c>
      <c r="CE914" s="31" t="s">
        <v>777</v>
      </c>
      <c r="FA914" s="31" t="s">
        <v>796</v>
      </c>
      <c r="FB914" s="31" t="s">
        <v>936</v>
      </c>
      <c r="FC914" s="31">
        <v>44</v>
      </c>
    </row>
    <row r="915" spans="1:159" s="31" customFormat="1" x14ac:dyDescent="0.25">
      <c r="A915" s="31">
        <v>44</v>
      </c>
      <c r="B915" s="31" t="s">
        <v>757</v>
      </c>
      <c r="C915" s="31" t="s">
        <v>758</v>
      </c>
      <c r="D915" s="31">
        <v>2000</v>
      </c>
      <c r="E915" s="31">
        <v>1996</v>
      </c>
      <c r="F915" s="31" t="s">
        <v>759</v>
      </c>
      <c r="G915" s="31" t="s">
        <v>763</v>
      </c>
      <c r="H915" s="31">
        <v>45.15</v>
      </c>
      <c r="I915" s="31">
        <v>-122.58</v>
      </c>
      <c r="J915" s="31">
        <v>112.8</v>
      </c>
      <c r="N915" s="31">
        <v>1040</v>
      </c>
      <c r="O915" s="31" t="s">
        <v>169</v>
      </c>
      <c r="P915" s="56" t="s">
        <v>179</v>
      </c>
      <c r="Q915" s="56"/>
      <c r="R915" s="56"/>
      <c r="S915" s="56" t="s">
        <v>1645</v>
      </c>
      <c r="T915" s="56" t="s">
        <v>1645</v>
      </c>
      <c r="V915" s="31">
        <v>10</v>
      </c>
      <c r="W915" s="31">
        <v>70</v>
      </c>
      <c r="X915" s="31" t="s">
        <v>168</v>
      </c>
      <c r="AB915" s="31" t="s">
        <v>1524</v>
      </c>
      <c r="AC915" s="31" t="s">
        <v>638</v>
      </c>
      <c r="AD915" s="153" t="str">
        <f t="shared" si="228"/>
        <v>Oat</v>
      </c>
      <c r="AE915" s="31" t="s">
        <v>167</v>
      </c>
      <c r="AG915" s="31" t="s">
        <v>772</v>
      </c>
      <c r="AH915" s="31" t="s">
        <v>772</v>
      </c>
      <c r="AI915" s="31" t="s">
        <v>230</v>
      </c>
      <c r="AP915" s="31" t="s">
        <v>154</v>
      </c>
      <c r="AQ915" s="31">
        <v>4</v>
      </c>
      <c r="AR915" s="31">
        <v>4</v>
      </c>
      <c r="AS915" s="31" t="s">
        <v>404</v>
      </c>
      <c r="BH915" s="31">
        <v>1.95</v>
      </c>
      <c r="BI915" s="31">
        <v>1.9300000000000002</v>
      </c>
      <c r="BJ915" s="31" t="s">
        <v>1106</v>
      </c>
      <c r="BK915" s="31">
        <f t="shared" si="231"/>
        <v>1600</v>
      </c>
      <c r="BL915" s="31">
        <v>1700</v>
      </c>
      <c r="BQ915" s="31">
        <f t="shared" si="232"/>
        <v>269.09999999999997</v>
      </c>
      <c r="BR915" s="31">
        <f t="shared" si="233"/>
        <v>253.5</v>
      </c>
      <c r="BT915" s="31">
        <v>5.74</v>
      </c>
      <c r="BU915" s="31">
        <v>5.74</v>
      </c>
      <c r="BW915" s="31">
        <v>26.32</v>
      </c>
      <c r="BX915" s="31">
        <v>27.04</v>
      </c>
      <c r="CC915" s="31">
        <v>11.82</v>
      </c>
      <c r="CD915" s="31">
        <v>11.63</v>
      </c>
      <c r="CE915" s="31" t="s">
        <v>777</v>
      </c>
      <c r="FA915" s="31" t="s">
        <v>796</v>
      </c>
      <c r="FB915" s="31" t="s">
        <v>936</v>
      </c>
      <c r="FC915" s="31">
        <v>44</v>
      </c>
    </row>
    <row r="916" spans="1:159" s="31" customFormat="1" x14ac:dyDescent="0.25">
      <c r="A916" s="31">
        <v>44</v>
      </c>
      <c r="B916" s="31" t="s">
        <v>757</v>
      </c>
      <c r="C916" s="31" t="s">
        <v>758</v>
      </c>
      <c r="D916" s="31">
        <v>2000</v>
      </c>
      <c r="E916" s="31">
        <v>1996</v>
      </c>
      <c r="F916" s="31" t="s">
        <v>759</v>
      </c>
      <c r="G916" s="31" t="s">
        <v>762</v>
      </c>
      <c r="H916" s="31">
        <v>45.11</v>
      </c>
      <c r="I916" s="31">
        <v>-122.9</v>
      </c>
      <c r="J916" s="31">
        <v>57.3</v>
      </c>
      <c r="N916" s="31">
        <v>1040</v>
      </c>
      <c r="O916" s="31" t="s">
        <v>169</v>
      </c>
      <c r="P916" s="56" t="s">
        <v>179</v>
      </c>
      <c r="Q916" s="56"/>
      <c r="R916" s="56"/>
      <c r="S916" s="56" t="s">
        <v>1645</v>
      </c>
      <c r="T916" s="56" t="s">
        <v>1645</v>
      </c>
      <c r="V916" s="31">
        <v>9</v>
      </c>
      <c r="W916" s="31">
        <v>70</v>
      </c>
      <c r="X916" s="31" t="s">
        <v>168</v>
      </c>
      <c r="AB916" s="31" t="s">
        <v>1524</v>
      </c>
      <c r="AC916" s="31" t="s">
        <v>301</v>
      </c>
      <c r="AD916" s="153" t="str">
        <f t="shared" si="228"/>
        <v>Vetch</v>
      </c>
      <c r="AE916" s="31" t="s">
        <v>167</v>
      </c>
      <c r="AG916" s="31" t="s">
        <v>774</v>
      </c>
      <c r="AH916" s="31" t="s">
        <v>774</v>
      </c>
      <c r="AI916" s="31" t="s">
        <v>230</v>
      </c>
      <c r="AP916" s="31" t="s">
        <v>154</v>
      </c>
      <c r="AQ916" s="31">
        <v>4</v>
      </c>
      <c r="AR916" s="31">
        <v>4</v>
      </c>
      <c r="AS916" s="31" t="s">
        <v>404</v>
      </c>
      <c r="BH916" s="31">
        <v>1.95</v>
      </c>
      <c r="BI916" s="31">
        <v>1.9300000000000002</v>
      </c>
      <c r="BJ916" s="31" t="s">
        <v>1106</v>
      </c>
      <c r="BK916" s="31">
        <f t="shared" si="231"/>
        <v>1600</v>
      </c>
      <c r="BL916" s="31">
        <v>1700</v>
      </c>
      <c r="BQ916" s="31">
        <f t="shared" si="232"/>
        <v>269.09999999999997</v>
      </c>
      <c r="BR916" s="31">
        <f t="shared" si="233"/>
        <v>253.5</v>
      </c>
      <c r="BT916" s="31">
        <v>5.74</v>
      </c>
      <c r="BU916" s="31">
        <v>5.74</v>
      </c>
      <c r="BW916" s="31">
        <v>26.32</v>
      </c>
      <c r="BX916" s="31">
        <v>27.04</v>
      </c>
      <c r="CC916" s="31">
        <v>11.82</v>
      </c>
      <c r="CD916" s="31">
        <v>11.63</v>
      </c>
      <c r="CE916" s="31" t="s">
        <v>777</v>
      </c>
      <c r="FA916" s="31" t="s">
        <v>796</v>
      </c>
      <c r="FB916" s="31" t="s">
        <v>936</v>
      </c>
      <c r="FC916" s="31">
        <v>44</v>
      </c>
    </row>
    <row r="917" spans="1:159" s="23" customFormat="1" x14ac:dyDescent="0.25">
      <c r="A917" s="23">
        <v>44</v>
      </c>
      <c r="B917" s="23" t="s">
        <v>757</v>
      </c>
      <c r="C917" s="23" t="s">
        <v>758</v>
      </c>
      <c r="D917" s="23">
        <v>2000</v>
      </c>
      <c r="E917" s="23">
        <v>1996</v>
      </c>
      <c r="F917" s="23" t="s">
        <v>759</v>
      </c>
      <c r="G917" s="23" t="s">
        <v>765</v>
      </c>
      <c r="H917" s="23">
        <v>45.231000000000002</v>
      </c>
      <c r="I917" s="23">
        <v>-122.756</v>
      </c>
      <c r="J917" s="23">
        <v>48.4</v>
      </c>
      <c r="N917" s="23">
        <v>1040</v>
      </c>
      <c r="O917" s="23" t="s">
        <v>169</v>
      </c>
      <c r="P917" s="23" t="s">
        <v>179</v>
      </c>
      <c r="R917" s="53"/>
      <c r="S917" s="53" t="s">
        <v>1645</v>
      </c>
      <c r="T917" s="53" t="s">
        <v>1645</v>
      </c>
      <c r="U917" s="53"/>
      <c r="V917" s="23">
        <v>28</v>
      </c>
      <c r="W917" s="23">
        <v>54</v>
      </c>
      <c r="X917" s="23" t="s">
        <v>168</v>
      </c>
      <c r="AB917" s="23" t="s">
        <v>1524</v>
      </c>
      <c r="AC917" s="23" t="s">
        <v>1859</v>
      </c>
      <c r="AD917" s="153" t="str">
        <f t="shared" si="228"/>
        <v>Triticale/Austrian_winter_pea</v>
      </c>
      <c r="AE917" s="23" t="s">
        <v>768</v>
      </c>
      <c r="AG917" s="23" t="s">
        <v>775</v>
      </c>
      <c r="AH917" s="23" t="s">
        <v>775</v>
      </c>
      <c r="AI917" s="23" t="s">
        <v>230</v>
      </c>
      <c r="AP917" s="23" t="s">
        <v>154</v>
      </c>
      <c r="AQ917" s="23">
        <v>4</v>
      </c>
      <c r="AR917" s="23">
        <v>4</v>
      </c>
      <c r="AS917" s="23" t="s">
        <v>404</v>
      </c>
      <c r="BH917" s="23">
        <v>1.8199999999999998</v>
      </c>
      <c r="BI917" s="23">
        <v>1.6</v>
      </c>
      <c r="BJ917" s="23" t="s">
        <v>1106</v>
      </c>
      <c r="BK917" s="23">
        <v>1300</v>
      </c>
      <c r="BL917" s="23">
        <v>1200</v>
      </c>
      <c r="BQ917" s="23">
        <f>0.45*390</f>
        <v>175.5</v>
      </c>
      <c r="BR917" s="23">
        <f>0.49*390</f>
        <v>191.1</v>
      </c>
      <c r="BS917" s="31"/>
      <c r="BT917" s="23">
        <v>5.3</v>
      </c>
      <c r="BU917" s="23">
        <v>4.9000000000000004</v>
      </c>
      <c r="BW917" s="23">
        <v>23.4</v>
      </c>
      <c r="BX917" s="23">
        <v>22.96</v>
      </c>
      <c r="CC917" s="23">
        <v>6.3</v>
      </c>
      <c r="CD917" s="23">
        <v>7.55</v>
      </c>
      <c r="CE917" s="23" t="s">
        <v>777</v>
      </c>
      <c r="FA917" s="31" t="s">
        <v>796</v>
      </c>
      <c r="FB917" s="31" t="s">
        <v>936</v>
      </c>
      <c r="FC917" s="23">
        <v>44</v>
      </c>
    </row>
    <row r="918" spans="1:159" s="23" customFormat="1" x14ac:dyDescent="0.25">
      <c r="A918" s="23">
        <v>44</v>
      </c>
      <c r="B918" s="23" t="s">
        <v>757</v>
      </c>
      <c r="C918" s="23" t="s">
        <v>758</v>
      </c>
      <c r="D918" s="23">
        <v>2000</v>
      </c>
      <c r="E918" s="23">
        <v>1996</v>
      </c>
      <c r="F918" s="23" t="s">
        <v>759</v>
      </c>
      <c r="G918" s="23" t="s">
        <v>766</v>
      </c>
      <c r="H918" s="23">
        <v>44.94</v>
      </c>
      <c r="I918" s="23">
        <v>-122.93</v>
      </c>
      <c r="J918" s="23">
        <v>66.5</v>
      </c>
      <c r="N918" s="23">
        <v>1040</v>
      </c>
      <c r="O918" s="23" t="s">
        <v>169</v>
      </c>
      <c r="P918" s="53" t="s">
        <v>179</v>
      </c>
      <c r="Q918" s="53"/>
      <c r="R918" s="53"/>
      <c r="S918" s="53" t="s">
        <v>1645</v>
      </c>
      <c r="T918" s="53" t="s">
        <v>1645</v>
      </c>
      <c r="V918" s="23">
        <v>22</v>
      </c>
      <c r="W918" s="23">
        <v>52</v>
      </c>
      <c r="X918" s="23" t="s">
        <v>168</v>
      </c>
      <c r="AB918" s="23" t="s">
        <v>1524</v>
      </c>
      <c r="AC918" s="23" t="s">
        <v>769</v>
      </c>
      <c r="AD918" s="153" t="str">
        <f t="shared" si="228"/>
        <v>Mixed</v>
      </c>
      <c r="AE918" s="23" t="s">
        <v>167</v>
      </c>
      <c r="AG918" s="23" t="s">
        <v>776</v>
      </c>
      <c r="AH918" s="23" t="s">
        <v>776</v>
      </c>
      <c r="AI918" s="23" t="s">
        <v>230</v>
      </c>
      <c r="AP918" s="23" t="s">
        <v>154</v>
      </c>
      <c r="AQ918" s="23">
        <v>4</v>
      </c>
      <c r="AR918" s="23">
        <v>4</v>
      </c>
      <c r="AS918" s="23" t="s">
        <v>404</v>
      </c>
      <c r="BH918" s="23">
        <v>1.53</v>
      </c>
      <c r="BI918" s="23">
        <v>1.7399999999999998</v>
      </c>
      <c r="BJ918" s="23" t="s">
        <v>1106</v>
      </c>
      <c r="BK918" s="23">
        <v>1500</v>
      </c>
      <c r="BL918" s="23">
        <v>1400</v>
      </c>
      <c r="BQ918" s="23">
        <f>0.6*390</f>
        <v>234</v>
      </c>
      <c r="BR918" s="23">
        <f>0.73*390</f>
        <v>284.7</v>
      </c>
      <c r="BS918" s="31"/>
      <c r="BT918" s="23">
        <v>5.53</v>
      </c>
      <c r="BU918" s="23">
        <v>5.5</v>
      </c>
      <c r="BW918" s="23">
        <v>33.97</v>
      </c>
      <c r="BX918" s="23">
        <v>31.45</v>
      </c>
      <c r="CC918" s="23">
        <v>16.079999999999998</v>
      </c>
      <c r="CD918" s="23">
        <v>16.55</v>
      </c>
      <c r="CE918" s="23" t="s">
        <v>777</v>
      </c>
      <c r="FA918" s="31" t="s">
        <v>796</v>
      </c>
      <c r="FB918" s="31" t="s">
        <v>936</v>
      </c>
      <c r="FC918" s="23">
        <v>44</v>
      </c>
    </row>
    <row r="919" spans="1:159" s="31" customFormat="1" x14ac:dyDescent="0.25">
      <c r="A919" s="31">
        <v>44</v>
      </c>
      <c r="B919" s="31" t="s">
        <v>757</v>
      </c>
      <c r="C919" s="31" t="s">
        <v>758</v>
      </c>
      <c r="D919" s="31">
        <v>2000</v>
      </c>
      <c r="E919" s="31">
        <v>1996</v>
      </c>
      <c r="F919" s="31" t="s">
        <v>759</v>
      </c>
      <c r="G919" s="31" t="s">
        <v>791</v>
      </c>
      <c r="H919" s="31">
        <v>45.01</v>
      </c>
      <c r="I919" s="31">
        <v>-122.78</v>
      </c>
      <c r="J919" s="31">
        <v>78.5</v>
      </c>
      <c r="N919" s="31">
        <v>1040</v>
      </c>
      <c r="O919" s="31" t="s">
        <v>169</v>
      </c>
      <c r="P919" s="56" t="s">
        <v>179</v>
      </c>
      <c r="Q919" s="56"/>
      <c r="R919" s="56" t="s">
        <v>792</v>
      </c>
      <c r="S919" s="56" t="s">
        <v>1645</v>
      </c>
      <c r="T919" s="56" t="s">
        <v>1645</v>
      </c>
      <c r="V919" s="31">
        <v>7</v>
      </c>
      <c r="W919" s="31">
        <v>67</v>
      </c>
      <c r="X919" s="31" t="s">
        <v>764</v>
      </c>
      <c r="AB919" s="31" t="s">
        <v>1524</v>
      </c>
      <c r="AC919" s="31" t="s">
        <v>166</v>
      </c>
      <c r="AD919" s="153" t="str">
        <f t="shared" si="228"/>
        <v>Rye</v>
      </c>
      <c r="AE919" s="31" t="s">
        <v>767</v>
      </c>
      <c r="AG919" s="31" t="s">
        <v>772</v>
      </c>
      <c r="AH919" s="31" t="s">
        <v>772</v>
      </c>
      <c r="AI919" s="31" t="s">
        <v>230</v>
      </c>
      <c r="AP919" s="31" t="s">
        <v>154</v>
      </c>
      <c r="AQ919" s="31">
        <v>4</v>
      </c>
      <c r="AR919" s="31">
        <v>4</v>
      </c>
      <c r="AS919" s="31" t="s">
        <v>404</v>
      </c>
      <c r="DS919" s="31">
        <v>102.23</v>
      </c>
      <c r="DT919" s="31">
        <v>102.23</v>
      </c>
      <c r="DU919" s="31" t="s">
        <v>755</v>
      </c>
      <c r="EQ919" s="31">
        <v>119.18</v>
      </c>
      <c r="ER919" s="31">
        <v>119.18</v>
      </c>
      <c r="FA919" s="31" t="s">
        <v>796</v>
      </c>
      <c r="FB919" s="31" t="s">
        <v>936</v>
      </c>
      <c r="FC919" s="31">
        <v>44</v>
      </c>
    </row>
    <row r="920" spans="1:159" s="31" customFormat="1" x14ac:dyDescent="0.25">
      <c r="A920" s="31">
        <v>44</v>
      </c>
      <c r="B920" s="31" t="s">
        <v>757</v>
      </c>
      <c r="C920" s="31" t="s">
        <v>758</v>
      </c>
      <c r="D920" s="31">
        <v>2000</v>
      </c>
      <c r="E920" s="31">
        <v>1997</v>
      </c>
      <c r="F920" s="31" t="s">
        <v>759</v>
      </c>
      <c r="G920" s="31" t="s">
        <v>791</v>
      </c>
      <c r="H920" s="31">
        <v>45.01</v>
      </c>
      <c r="I920" s="31">
        <v>-122.78</v>
      </c>
      <c r="J920" s="31">
        <v>78.5</v>
      </c>
      <c r="N920" s="31">
        <v>1040</v>
      </c>
      <c r="O920" s="31" t="s">
        <v>169</v>
      </c>
      <c r="P920" s="56" t="s">
        <v>180</v>
      </c>
      <c r="Q920" s="56"/>
      <c r="R920" s="56" t="s">
        <v>793</v>
      </c>
      <c r="S920" s="56" t="s">
        <v>1645</v>
      </c>
      <c r="T920" s="56" t="s">
        <v>1645</v>
      </c>
      <c r="V920" s="31">
        <v>7</v>
      </c>
      <c r="W920" s="31">
        <v>67</v>
      </c>
      <c r="X920" s="31" t="s">
        <v>764</v>
      </c>
      <c r="AB920" s="31" t="s">
        <v>1524</v>
      </c>
      <c r="AC920" s="31" t="s">
        <v>166</v>
      </c>
      <c r="AD920" s="153" t="str">
        <f t="shared" si="228"/>
        <v>Rye</v>
      </c>
      <c r="AE920" s="31" t="s">
        <v>767</v>
      </c>
      <c r="AG920" s="31" t="s">
        <v>772</v>
      </c>
      <c r="AH920" s="31" t="s">
        <v>772</v>
      </c>
      <c r="AI920" s="31" t="s">
        <v>230</v>
      </c>
      <c r="AP920" s="31" t="s">
        <v>154</v>
      </c>
      <c r="AQ920" s="31">
        <v>4</v>
      </c>
      <c r="AR920" s="31">
        <v>4</v>
      </c>
      <c r="AS920" s="31" t="s">
        <v>404</v>
      </c>
      <c r="DS920" s="31">
        <v>125.4</v>
      </c>
      <c r="DT920" s="31">
        <v>148.54</v>
      </c>
      <c r="DU920" s="31" t="s">
        <v>755</v>
      </c>
      <c r="EQ920" s="31">
        <v>177</v>
      </c>
      <c r="ER920" s="31">
        <v>213.62</v>
      </c>
      <c r="FA920" s="31" t="s">
        <v>796</v>
      </c>
      <c r="FB920" s="31" t="s">
        <v>936</v>
      </c>
      <c r="FC920" s="31">
        <v>44</v>
      </c>
    </row>
    <row r="921" spans="1:159" s="31" customFormat="1" x14ac:dyDescent="0.25">
      <c r="A921" s="31">
        <v>44</v>
      </c>
      <c r="B921" s="31" t="s">
        <v>757</v>
      </c>
      <c r="C921" s="31" t="s">
        <v>758</v>
      </c>
      <c r="D921" s="31">
        <v>2000</v>
      </c>
      <c r="E921" s="31">
        <v>1997</v>
      </c>
      <c r="F921" s="31" t="s">
        <v>759</v>
      </c>
      <c r="G921" s="31" t="s">
        <v>791</v>
      </c>
      <c r="H921" s="31">
        <v>45.01</v>
      </c>
      <c r="I921" s="31">
        <v>-122.78</v>
      </c>
      <c r="J921" s="31">
        <v>78.5</v>
      </c>
      <c r="N921" s="31">
        <v>1040</v>
      </c>
      <c r="O921" s="31" t="s">
        <v>169</v>
      </c>
      <c r="P921" s="56" t="s">
        <v>180</v>
      </c>
      <c r="Q921" s="56"/>
      <c r="R921" s="56" t="s">
        <v>792</v>
      </c>
      <c r="S921" s="56" t="s">
        <v>1645</v>
      </c>
      <c r="T921" s="56" t="s">
        <v>1645</v>
      </c>
      <c r="V921" s="31">
        <v>7</v>
      </c>
      <c r="W921" s="31">
        <v>67</v>
      </c>
      <c r="X921" s="31" t="s">
        <v>764</v>
      </c>
      <c r="AB921" s="31" t="s">
        <v>1524</v>
      </c>
      <c r="AC921" s="31" t="s">
        <v>166</v>
      </c>
      <c r="AD921" s="153" t="str">
        <f t="shared" si="228"/>
        <v>Rye</v>
      </c>
      <c r="AE921" s="31" t="s">
        <v>767</v>
      </c>
      <c r="AG921" s="31" t="s">
        <v>772</v>
      </c>
      <c r="AH921" s="31" t="s">
        <v>772</v>
      </c>
      <c r="AI921" s="31" t="s">
        <v>230</v>
      </c>
      <c r="AP921" s="31" t="s">
        <v>154</v>
      </c>
      <c r="AQ921" s="31">
        <v>4</v>
      </c>
      <c r="AR921" s="31">
        <v>4</v>
      </c>
      <c r="AS921" s="31" t="s">
        <v>404</v>
      </c>
      <c r="DS921" s="31">
        <v>125.85</v>
      </c>
      <c r="DT921" s="31">
        <v>129.63</v>
      </c>
      <c r="DU921" s="31" t="s">
        <v>755</v>
      </c>
      <c r="EQ921" s="31">
        <v>137.91</v>
      </c>
      <c r="ER921" s="31">
        <v>193.93</v>
      </c>
      <c r="FA921" s="31" t="s">
        <v>796</v>
      </c>
      <c r="FB921" s="31" t="s">
        <v>936</v>
      </c>
      <c r="FC921" s="31">
        <v>44</v>
      </c>
    </row>
    <row r="922" spans="1:159" s="31" customFormat="1" x14ac:dyDescent="0.25">
      <c r="A922" s="31">
        <v>44</v>
      </c>
      <c r="B922" s="31" t="s">
        <v>757</v>
      </c>
      <c r="C922" s="31" t="s">
        <v>758</v>
      </c>
      <c r="D922" s="31">
        <v>2000</v>
      </c>
      <c r="E922" s="31">
        <v>1997</v>
      </c>
      <c r="F922" s="31" t="s">
        <v>759</v>
      </c>
      <c r="G922" s="31" t="s">
        <v>791</v>
      </c>
      <c r="H922" s="31">
        <v>45.01</v>
      </c>
      <c r="I922" s="31">
        <v>-122.78</v>
      </c>
      <c r="J922" s="31">
        <v>78.5</v>
      </c>
      <c r="N922" s="31">
        <v>1040</v>
      </c>
      <c r="O922" s="31" t="s">
        <v>169</v>
      </c>
      <c r="P922" s="56" t="s">
        <v>180</v>
      </c>
      <c r="Q922" s="56"/>
      <c r="R922" s="56" t="s">
        <v>794</v>
      </c>
      <c r="S922" s="56" t="s">
        <v>1645</v>
      </c>
      <c r="T922" s="56" t="s">
        <v>1645</v>
      </c>
      <c r="V922" s="31">
        <v>7</v>
      </c>
      <c r="W922" s="31">
        <v>67</v>
      </c>
      <c r="X922" s="31" t="s">
        <v>764</v>
      </c>
      <c r="AB922" s="31" t="s">
        <v>1524</v>
      </c>
      <c r="AC922" s="31" t="s">
        <v>166</v>
      </c>
      <c r="AD922" s="153" t="str">
        <f t="shared" si="228"/>
        <v>Rye</v>
      </c>
      <c r="AE922" s="31" t="s">
        <v>767</v>
      </c>
      <c r="AG922" s="31" t="s">
        <v>772</v>
      </c>
      <c r="AH922" s="31" t="s">
        <v>772</v>
      </c>
      <c r="AI922" s="31" t="s">
        <v>230</v>
      </c>
      <c r="AP922" s="31" t="s">
        <v>154</v>
      </c>
      <c r="AQ922" s="31">
        <v>4</v>
      </c>
      <c r="AR922" s="31">
        <v>4</v>
      </c>
      <c r="AS922" s="31" t="s">
        <v>404</v>
      </c>
      <c r="DS922" s="31">
        <v>127.98</v>
      </c>
      <c r="DT922" s="31">
        <v>133.03</v>
      </c>
      <c r="DU922" s="31" t="s">
        <v>755</v>
      </c>
      <c r="EQ922" s="31">
        <v>182.81</v>
      </c>
      <c r="ER922" s="31">
        <v>225.86</v>
      </c>
      <c r="FA922" s="31" t="s">
        <v>796</v>
      </c>
      <c r="FB922" s="31" t="s">
        <v>936</v>
      </c>
      <c r="FC922" s="31">
        <v>44</v>
      </c>
    </row>
    <row r="923" spans="1:159" s="31" customFormat="1" x14ac:dyDescent="0.25">
      <c r="A923" s="31">
        <v>44</v>
      </c>
      <c r="B923" s="31" t="s">
        <v>757</v>
      </c>
      <c r="C923" s="31" t="s">
        <v>758</v>
      </c>
      <c r="D923" s="31">
        <v>2000</v>
      </c>
      <c r="E923" s="31">
        <v>1998</v>
      </c>
      <c r="F923" s="31" t="s">
        <v>759</v>
      </c>
      <c r="G923" s="31" t="s">
        <v>791</v>
      </c>
      <c r="H923" s="31">
        <v>45.01</v>
      </c>
      <c r="I923" s="31">
        <v>-122.78</v>
      </c>
      <c r="J923" s="31">
        <v>78.5</v>
      </c>
      <c r="N923" s="31">
        <v>1040</v>
      </c>
      <c r="O923" s="31" t="s">
        <v>169</v>
      </c>
      <c r="P923" s="56" t="s">
        <v>181</v>
      </c>
      <c r="Q923" s="56"/>
      <c r="R923" s="56" t="s">
        <v>793</v>
      </c>
      <c r="S923" s="56" t="s">
        <v>1645</v>
      </c>
      <c r="T923" s="56" t="s">
        <v>1645</v>
      </c>
      <c r="V923" s="31">
        <v>7</v>
      </c>
      <c r="W923" s="31">
        <v>67</v>
      </c>
      <c r="X923" s="31" t="s">
        <v>764</v>
      </c>
      <c r="AB923" s="31" t="s">
        <v>1524</v>
      </c>
      <c r="AC923" s="31" t="s">
        <v>166</v>
      </c>
      <c r="AD923" s="153" t="str">
        <f t="shared" si="228"/>
        <v>Rye</v>
      </c>
      <c r="AE923" s="31" t="s">
        <v>767</v>
      </c>
      <c r="AG923" s="31" t="s">
        <v>772</v>
      </c>
      <c r="AH923" s="31" t="s">
        <v>772</v>
      </c>
      <c r="AI923" s="31" t="s">
        <v>230</v>
      </c>
      <c r="AP923" s="31" t="s">
        <v>154</v>
      </c>
      <c r="AQ923" s="31">
        <v>4</v>
      </c>
      <c r="AR923" s="31">
        <v>4</v>
      </c>
      <c r="AS923" s="31" t="s">
        <v>404</v>
      </c>
      <c r="DS923" s="31">
        <v>136.43</v>
      </c>
      <c r="DT923" s="31">
        <v>146.94</v>
      </c>
      <c r="DU923" s="31" t="s">
        <v>755</v>
      </c>
      <c r="EQ923" s="31">
        <v>257.87</v>
      </c>
      <c r="ER923" s="31">
        <v>296.64</v>
      </c>
      <c r="FA923" s="31" t="s">
        <v>796</v>
      </c>
      <c r="FB923" s="31" t="s">
        <v>936</v>
      </c>
      <c r="FC923" s="31">
        <v>44</v>
      </c>
    </row>
    <row r="924" spans="1:159" s="31" customFormat="1" x14ac:dyDescent="0.25">
      <c r="A924" s="31">
        <v>44</v>
      </c>
      <c r="B924" s="31" t="s">
        <v>757</v>
      </c>
      <c r="C924" s="31" t="s">
        <v>758</v>
      </c>
      <c r="D924" s="31">
        <v>2000</v>
      </c>
      <c r="E924" s="31">
        <v>1998</v>
      </c>
      <c r="F924" s="31" t="s">
        <v>759</v>
      </c>
      <c r="G924" s="31" t="s">
        <v>791</v>
      </c>
      <c r="H924" s="31">
        <v>45.01</v>
      </c>
      <c r="I924" s="31">
        <v>-122.78</v>
      </c>
      <c r="J924" s="31">
        <v>78.5</v>
      </c>
      <c r="N924" s="31">
        <v>1040</v>
      </c>
      <c r="O924" s="31" t="s">
        <v>169</v>
      </c>
      <c r="P924" s="56" t="s">
        <v>181</v>
      </c>
      <c r="Q924" s="56"/>
      <c r="R924" s="56" t="s">
        <v>792</v>
      </c>
      <c r="S924" s="56" t="s">
        <v>1645</v>
      </c>
      <c r="T924" s="56" t="s">
        <v>1645</v>
      </c>
      <c r="V924" s="31">
        <v>7</v>
      </c>
      <c r="W924" s="31">
        <v>67</v>
      </c>
      <c r="X924" s="31" t="s">
        <v>764</v>
      </c>
      <c r="AB924" s="31" t="s">
        <v>1524</v>
      </c>
      <c r="AC924" s="31" t="s">
        <v>166</v>
      </c>
      <c r="AD924" s="153" t="str">
        <f t="shared" si="228"/>
        <v>Rye</v>
      </c>
      <c r="AE924" s="31" t="s">
        <v>767</v>
      </c>
      <c r="AG924" s="31" t="s">
        <v>772</v>
      </c>
      <c r="AH924" s="31" t="s">
        <v>772</v>
      </c>
      <c r="AI924" s="31" t="s">
        <v>230</v>
      </c>
      <c r="AP924" s="31" t="s">
        <v>154</v>
      </c>
      <c r="AQ924" s="31">
        <v>4</v>
      </c>
      <c r="AR924" s="31">
        <v>4</v>
      </c>
      <c r="AS924" s="31" t="s">
        <v>404</v>
      </c>
      <c r="DS924" s="31">
        <v>81.77</v>
      </c>
      <c r="DT924" s="31">
        <v>105.75</v>
      </c>
      <c r="DU924" s="31" t="s">
        <v>755</v>
      </c>
      <c r="EQ924" s="31">
        <v>119.67</v>
      </c>
      <c r="ER924" s="31">
        <v>158.43</v>
      </c>
      <c r="FA924" s="31" t="s">
        <v>796</v>
      </c>
      <c r="FB924" s="31" t="s">
        <v>936</v>
      </c>
      <c r="FC924" s="31">
        <v>44</v>
      </c>
    </row>
    <row r="925" spans="1:159" s="31" customFormat="1" x14ac:dyDescent="0.25">
      <c r="A925" s="31">
        <v>44</v>
      </c>
      <c r="B925" s="31" t="s">
        <v>757</v>
      </c>
      <c r="C925" s="31" t="s">
        <v>758</v>
      </c>
      <c r="D925" s="31">
        <v>2000</v>
      </c>
      <c r="E925" s="31">
        <v>1998</v>
      </c>
      <c r="F925" s="31" t="s">
        <v>759</v>
      </c>
      <c r="G925" s="31" t="s">
        <v>791</v>
      </c>
      <c r="H925" s="31">
        <v>45.01</v>
      </c>
      <c r="I925" s="31">
        <v>-122.78</v>
      </c>
      <c r="J925" s="31">
        <v>78.5</v>
      </c>
      <c r="N925" s="31">
        <v>1040</v>
      </c>
      <c r="O925" s="31" t="s">
        <v>169</v>
      </c>
      <c r="P925" s="56" t="s">
        <v>181</v>
      </c>
      <c r="Q925" s="56"/>
      <c r="R925" s="56" t="s">
        <v>794</v>
      </c>
      <c r="S925" s="56" t="s">
        <v>1645</v>
      </c>
      <c r="T925" s="56" t="s">
        <v>1645</v>
      </c>
      <c r="V925" s="31">
        <v>7</v>
      </c>
      <c r="W925" s="31">
        <v>67</v>
      </c>
      <c r="X925" s="31" t="s">
        <v>764</v>
      </c>
      <c r="AB925" s="31" t="s">
        <v>1524</v>
      </c>
      <c r="AC925" s="31" t="s">
        <v>166</v>
      </c>
      <c r="AD925" s="153" t="str">
        <f t="shared" si="228"/>
        <v>Rye</v>
      </c>
      <c r="AE925" s="31" t="s">
        <v>767</v>
      </c>
      <c r="AG925" s="31" t="s">
        <v>772</v>
      </c>
      <c r="AH925" s="31" t="s">
        <v>772</v>
      </c>
      <c r="AI925" s="31" t="s">
        <v>230</v>
      </c>
      <c r="AP925" s="31" t="s">
        <v>154</v>
      </c>
      <c r="AQ925" s="31">
        <v>4</v>
      </c>
      <c r="AR925" s="31">
        <v>4</v>
      </c>
      <c r="AS925" s="31" t="s">
        <v>404</v>
      </c>
      <c r="DS925" s="31">
        <v>82.63</v>
      </c>
      <c r="DT925" s="31">
        <v>101.57</v>
      </c>
      <c r="DU925" s="31" t="s">
        <v>755</v>
      </c>
      <c r="EQ925" s="31">
        <v>125.77</v>
      </c>
      <c r="ER925" s="31">
        <v>173.19</v>
      </c>
      <c r="FA925" s="31" t="s">
        <v>796</v>
      </c>
      <c r="FB925" s="31" t="s">
        <v>936</v>
      </c>
      <c r="FC925" s="31">
        <v>44</v>
      </c>
    </row>
    <row r="926" spans="1:159" s="23" customFormat="1" x14ac:dyDescent="0.25">
      <c r="A926" s="23">
        <v>44</v>
      </c>
      <c r="B926" s="23" t="s">
        <v>757</v>
      </c>
      <c r="C926" s="23" t="s">
        <v>758</v>
      </c>
      <c r="D926" s="23">
        <v>2000</v>
      </c>
      <c r="E926" s="23">
        <v>1996</v>
      </c>
      <c r="F926" s="23" t="s">
        <v>759</v>
      </c>
      <c r="G926" s="23" t="s">
        <v>765</v>
      </c>
      <c r="H926" s="23">
        <v>45.231000000000002</v>
      </c>
      <c r="I926" s="23">
        <v>-122.756</v>
      </c>
      <c r="J926" s="23">
        <v>48.4</v>
      </c>
      <c r="N926" s="23">
        <v>1040</v>
      </c>
      <c r="O926" s="23" t="s">
        <v>169</v>
      </c>
      <c r="P926" s="23" t="s">
        <v>179</v>
      </c>
      <c r="R926" s="53" t="s">
        <v>792</v>
      </c>
      <c r="S926" s="53" t="s">
        <v>1645</v>
      </c>
      <c r="T926" s="53" t="s">
        <v>1645</v>
      </c>
      <c r="U926" s="53"/>
      <c r="V926" s="23">
        <v>28</v>
      </c>
      <c r="W926" s="23">
        <v>54</v>
      </c>
      <c r="X926" s="23" t="s">
        <v>168</v>
      </c>
      <c r="AB926" s="23" t="s">
        <v>1524</v>
      </c>
      <c r="AC926" s="23" t="s">
        <v>940</v>
      </c>
      <c r="AD926" s="153" t="str">
        <f t="shared" si="228"/>
        <v>Triticale</v>
      </c>
      <c r="AE926" s="23" t="s">
        <v>768</v>
      </c>
      <c r="AG926" s="23" t="s">
        <v>775</v>
      </c>
      <c r="AH926" s="23" t="s">
        <v>775</v>
      </c>
      <c r="AI926" s="23" t="s">
        <v>230</v>
      </c>
      <c r="AP926" s="23" t="s">
        <v>154</v>
      </c>
      <c r="AQ926" s="23">
        <v>4</v>
      </c>
      <c r="AR926" s="23">
        <v>4</v>
      </c>
      <c r="AS926" s="23" t="s">
        <v>404</v>
      </c>
      <c r="BS926" s="31"/>
      <c r="DS926" s="23">
        <v>54.72</v>
      </c>
      <c r="DT926" s="23">
        <v>63.83</v>
      </c>
      <c r="DU926" s="23" t="s">
        <v>755</v>
      </c>
      <c r="EQ926" s="23">
        <v>58.24</v>
      </c>
      <c r="ER926" s="23">
        <v>65.680000000000007</v>
      </c>
      <c r="FA926" s="31" t="s">
        <v>796</v>
      </c>
      <c r="FB926" s="31" t="s">
        <v>936</v>
      </c>
      <c r="FC926" s="23">
        <v>44</v>
      </c>
    </row>
    <row r="927" spans="1:159" s="23" customFormat="1" x14ac:dyDescent="0.25">
      <c r="A927" s="23">
        <v>44</v>
      </c>
      <c r="B927" s="23" t="s">
        <v>757</v>
      </c>
      <c r="C927" s="23" t="s">
        <v>758</v>
      </c>
      <c r="D927" s="23">
        <v>2000</v>
      </c>
      <c r="E927" s="23">
        <v>1997</v>
      </c>
      <c r="F927" s="23" t="s">
        <v>759</v>
      </c>
      <c r="G927" s="23" t="s">
        <v>765</v>
      </c>
      <c r="H927" s="23">
        <v>45.231000000000002</v>
      </c>
      <c r="I927" s="23">
        <v>-122.756</v>
      </c>
      <c r="J927" s="23">
        <v>48.4</v>
      </c>
      <c r="N927" s="23">
        <v>1040</v>
      </c>
      <c r="O927" s="23" t="s">
        <v>169</v>
      </c>
      <c r="P927" s="23" t="s">
        <v>180</v>
      </c>
      <c r="R927" s="53" t="s">
        <v>793</v>
      </c>
      <c r="S927" s="53" t="s">
        <v>1645</v>
      </c>
      <c r="T927" s="53" t="s">
        <v>1645</v>
      </c>
      <c r="U927" s="53"/>
      <c r="V927" s="23">
        <v>28</v>
      </c>
      <c r="W927" s="23">
        <v>54</v>
      </c>
      <c r="X927" s="23" t="s">
        <v>168</v>
      </c>
      <c r="AB927" s="23" t="s">
        <v>1524</v>
      </c>
      <c r="AC927" s="23" t="s">
        <v>940</v>
      </c>
      <c r="AD927" s="153" t="str">
        <f t="shared" si="228"/>
        <v>Triticale</v>
      </c>
      <c r="AE927" s="23" t="s">
        <v>768</v>
      </c>
      <c r="AG927" s="23" t="s">
        <v>775</v>
      </c>
      <c r="AH927" s="23" t="s">
        <v>775</v>
      </c>
      <c r="AI927" s="23" t="s">
        <v>230</v>
      </c>
      <c r="AP927" s="23" t="s">
        <v>154</v>
      </c>
      <c r="AQ927" s="23">
        <v>4</v>
      </c>
      <c r="AR927" s="23">
        <v>4</v>
      </c>
      <c r="AS927" s="23" t="s">
        <v>404</v>
      </c>
      <c r="BS927" s="31"/>
      <c r="DS927" s="23">
        <v>103.23</v>
      </c>
      <c r="DT927" s="23">
        <v>85.85</v>
      </c>
      <c r="DU927" s="23" t="s">
        <v>755</v>
      </c>
      <c r="EQ927" s="23">
        <v>129.22999999999999</v>
      </c>
      <c r="ER927" s="23">
        <v>84.61</v>
      </c>
      <c r="FA927" s="31" t="s">
        <v>796</v>
      </c>
      <c r="FB927" s="31" t="s">
        <v>936</v>
      </c>
      <c r="FC927" s="23">
        <v>44</v>
      </c>
    </row>
    <row r="928" spans="1:159" s="23" customFormat="1" x14ac:dyDescent="0.25">
      <c r="A928" s="23">
        <v>44</v>
      </c>
      <c r="B928" s="23" t="s">
        <v>757</v>
      </c>
      <c r="C928" s="23" t="s">
        <v>758</v>
      </c>
      <c r="D928" s="23">
        <v>2000</v>
      </c>
      <c r="E928" s="23">
        <v>1997</v>
      </c>
      <c r="F928" s="23" t="s">
        <v>759</v>
      </c>
      <c r="G928" s="23" t="s">
        <v>765</v>
      </c>
      <c r="H928" s="23">
        <v>45.231000000000002</v>
      </c>
      <c r="I928" s="23">
        <v>-122.756</v>
      </c>
      <c r="J928" s="23">
        <v>48.4</v>
      </c>
      <c r="N928" s="23">
        <v>1040</v>
      </c>
      <c r="O928" s="23" t="s">
        <v>169</v>
      </c>
      <c r="P928" s="23" t="s">
        <v>180</v>
      </c>
      <c r="R928" s="53" t="s">
        <v>792</v>
      </c>
      <c r="S928" s="53" t="s">
        <v>1645</v>
      </c>
      <c r="T928" s="53" t="s">
        <v>1645</v>
      </c>
      <c r="U928" s="53"/>
      <c r="V928" s="23">
        <v>28</v>
      </c>
      <c r="W928" s="23">
        <v>54</v>
      </c>
      <c r="X928" s="23" t="s">
        <v>168</v>
      </c>
      <c r="AB928" s="23" t="s">
        <v>1524</v>
      </c>
      <c r="AC928" s="23" t="s">
        <v>940</v>
      </c>
      <c r="AD928" s="153" t="str">
        <f t="shared" si="228"/>
        <v>Triticale</v>
      </c>
      <c r="AE928" s="23" t="s">
        <v>768</v>
      </c>
      <c r="AG928" s="23" t="s">
        <v>775</v>
      </c>
      <c r="AH928" s="23" t="s">
        <v>775</v>
      </c>
      <c r="AI928" s="23" t="s">
        <v>230</v>
      </c>
      <c r="AP928" s="23" t="s">
        <v>154</v>
      </c>
      <c r="AQ928" s="23">
        <v>4</v>
      </c>
      <c r="AR928" s="23">
        <v>4</v>
      </c>
      <c r="AS928" s="23" t="s">
        <v>404</v>
      </c>
      <c r="BS928" s="31"/>
      <c r="DS928" s="23">
        <v>57.78</v>
      </c>
      <c r="DT928" s="23">
        <v>58.6</v>
      </c>
      <c r="DU928" s="23" t="s">
        <v>755</v>
      </c>
      <c r="EQ928" s="23">
        <v>70.59</v>
      </c>
      <c r="ER928" s="23">
        <v>48.29</v>
      </c>
      <c r="FA928" s="31" t="s">
        <v>796</v>
      </c>
      <c r="FB928" s="31" t="s">
        <v>936</v>
      </c>
      <c r="FC928" s="23">
        <v>44</v>
      </c>
    </row>
    <row r="929" spans="1:159" s="23" customFormat="1" x14ac:dyDescent="0.25">
      <c r="A929" s="23">
        <v>44</v>
      </c>
      <c r="B929" s="23" t="s">
        <v>757</v>
      </c>
      <c r="C929" s="23" t="s">
        <v>758</v>
      </c>
      <c r="D929" s="23">
        <v>2000</v>
      </c>
      <c r="E929" s="23">
        <v>1997</v>
      </c>
      <c r="F929" s="23" t="s">
        <v>759</v>
      </c>
      <c r="G929" s="23" t="s">
        <v>765</v>
      </c>
      <c r="H929" s="23">
        <v>45.231000000000002</v>
      </c>
      <c r="I929" s="23">
        <v>-122.756</v>
      </c>
      <c r="J929" s="23">
        <v>48.4</v>
      </c>
      <c r="N929" s="23">
        <v>1040</v>
      </c>
      <c r="O929" s="23" t="s">
        <v>169</v>
      </c>
      <c r="P929" s="23" t="s">
        <v>180</v>
      </c>
      <c r="R929" s="53" t="s">
        <v>794</v>
      </c>
      <c r="S929" s="53" t="s">
        <v>1645</v>
      </c>
      <c r="T929" s="53" t="s">
        <v>1645</v>
      </c>
      <c r="U929" s="53"/>
      <c r="V929" s="23">
        <v>28</v>
      </c>
      <c r="W929" s="23">
        <v>54</v>
      </c>
      <c r="X929" s="23" t="s">
        <v>168</v>
      </c>
      <c r="AB929" s="23" t="s">
        <v>1524</v>
      </c>
      <c r="AC929" s="23" t="s">
        <v>940</v>
      </c>
      <c r="AD929" s="153" t="str">
        <f t="shared" si="228"/>
        <v>Triticale</v>
      </c>
      <c r="AE929" s="23" t="s">
        <v>768</v>
      </c>
      <c r="AG929" s="23" t="s">
        <v>775</v>
      </c>
      <c r="AH929" s="23" t="s">
        <v>775</v>
      </c>
      <c r="AI929" s="23" t="s">
        <v>230</v>
      </c>
      <c r="AP929" s="23" t="s">
        <v>154</v>
      </c>
      <c r="AQ929" s="23">
        <v>4</v>
      </c>
      <c r="AR929" s="23">
        <v>4</v>
      </c>
      <c r="AS929" s="23" t="s">
        <v>404</v>
      </c>
      <c r="BS929" s="31"/>
      <c r="DS929" s="23">
        <v>61.58</v>
      </c>
      <c r="DT929" s="23">
        <v>65.72</v>
      </c>
      <c r="DU929" s="23" t="s">
        <v>755</v>
      </c>
      <c r="EQ929" s="23">
        <v>85.28</v>
      </c>
      <c r="ER929" s="23">
        <v>66.150000000000006</v>
      </c>
      <c r="FA929" s="31" t="s">
        <v>796</v>
      </c>
      <c r="FB929" s="31" t="s">
        <v>936</v>
      </c>
      <c r="FC929" s="23">
        <v>44</v>
      </c>
    </row>
    <row r="930" spans="1:159" s="23" customFormat="1" x14ac:dyDescent="0.25">
      <c r="A930" s="23">
        <v>44</v>
      </c>
      <c r="B930" s="23" t="s">
        <v>757</v>
      </c>
      <c r="C930" s="23" t="s">
        <v>758</v>
      </c>
      <c r="D930" s="23">
        <v>2000</v>
      </c>
      <c r="E930" s="23">
        <v>1998</v>
      </c>
      <c r="F930" s="23" t="s">
        <v>759</v>
      </c>
      <c r="G930" s="23" t="s">
        <v>765</v>
      </c>
      <c r="H930" s="23">
        <v>45.231000000000002</v>
      </c>
      <c r="I930" s="23">
        <v>-122.756</v>
      </c>
      <c r="J930" s="23">
        <v>48.4</v>
      </c>
      <c r="N930" s="23">
        <v>1040</v>
      </c>
      <c r="O930" s="23" t="s">
        <v>169</v>
      </c>
      <c r="P930" s="23" t="s">
        <v>181</v>
      </c>
      <c r="R930" s="53" t="s">
        <v>793</v>
      </c>
      <c r="S930" s="53" t="s">
        <v>1645</v>
      </c>
      <c r="T930" s="53" t="s">
        <v>1645</v>
      </c>
      <c r="U930" s="53"/>
      <c r="V930" s="23">
        <v>28</v>
      </c>
      <c r="W930" s="23">
        <v>54</v>
      </c>
      <c r="X930" s="23" t="s">
        <v>168</v>
      </c>
      <c r="AB930" s="23" t="s">
        <v>1524</v>
      </c>
      <c r="AC930" s="23" t="s">
        <v>940</v>
      </c>
      <c r="AD930" s="153" t="str">
        <f t="shared" si="228"/>
        <v>Triticale</v>
      </c>
      <c r="AE930" s="23" t="s">
        <v>768</v>
      </c>
      <c r="AG930" s="23" t="s">
        <v>775</v>
      </c>
      <c r="AH930" s="23" t="s">
        <v>775</v>
      </c>
      <c r="AI930" s="23" t="s">
        <v>230</v>
      </c>
      <c r="AP930" s="23" t="s">
        <v>154</v>
      </c>
      <c r="AQ930" s="23">
        <v>4</v>
      </c>
      <c r="AR930" s="23">
        <v>4</v>
      </c>
      <c r="AS930" s="23" t="s">
        <v>404</v>
      </c>
      <c r="BS930" s="31"/>
      <c r="DS930" s="23">
        <v>69.11</v>
      </c>
      <c r="DT930" s="23">
        <v>69.11</v>
      </c>
      <c r="DU930" s="23" t="s">
        <v>755</v>
      </c>
      <c r="EQ930" s="23">
        <v>102.08</v>
      </c>
      <c r="ER930" s="23">
        <v>64.88</v>
      </c>
      <c r="FA930" s="31" t="s">
        <v>796</v>
      </c>
      <c r="FB930" s="31" t="s">
        <v>936</v>
      </c>
      <c r="FC930" s="23">
        <v>44</v>
      </c>
    </row>
    <row r="931" spans="1:159" s="23" customFormat="1" x14ac:dyDescent="0.25">
      <c r="A931" s="23">
        <v>44</v>
      </c>
      <c r="B931" s="23" t="s">
        <v>757</v>
      </c>
      <c r="C931" s="23" t="s">
        <v>758</v>
      </c>
      <c r="D931" s="23">
        <v>2000</v>
      </c>
      <c r="E931" s="23">
        <v>1998</v>
      </c>
      <c r="F931" s="23" t="s">
        <v>759</v>
      </c>
      <c r="G931" s="23" t="s">
        <v>765</v>
      </c>
      <c r="H931" s="23">
        <v>45.231000000000002</v>
      </c>
      <c r="I931" s="23">
        <v>-122.756</v>
      </c>
      <c r="J931" s="23">
        <v>48.4</v>
      </c>
      <c r="N931" s="23">
        <v>1040</v>
      </c>
      <c r="O931" s="23" t="s">
        <v>169</v>
      </c>
      <c r="P931" s="23" t="s">
        <v>181</v>
      </c>
      <c r="R931" s="53" t="s">
        <v>792</v>
      </c>
      <c r="S931" s="53" t="s">
        <v>1645</v>
      </c>
      <c r="T931" s="53" t="s">
        <v>1645</v>
      </c>
      <c r="U931" s="53"/>
      <c r="V931" s="23">
        <v>28</v>
      </c>
      <c r="W931" s="23">
        <v>54</v>
      </c>
      <c r="X931" s="23" t="s">
        <v>168</v>
      </c>
      <c r="AB931" s="23" t="s">
        <v>1524</v>
      </c>
      <c r="AC931" s="23" t="s">
        <v>940</v>
      </c>
      <c r="AD931" s="153" t="str">
        <f t="shared" si="228"/>
        <v>Triticale</v>
      </c>
      <c r="AE931" s="23" t="s">
        <v>768</v>
      </c>
      <c r="AG931" s="23" t="s">
        <v>775</v>
      </c>
      <c r="AH931" s="23" t="s">
        <v>775</v>
      </c>
      <c r="AI931" s="23" t="s">
        <v>230</v>
      </c>
      <c r="AP931" s="23" t="s">
        <v>154</v>
      </c>
      <c r="AQ931" s="23">
        <v>4</v>
      </c>
      <c r="AR931" s="23">
        <v>4</v>
      </c>
      <c r="AS931" s="23" t="s">
        <v>404</v>
      </c>
      <c r="BS931" s="31"/>
      <c r="DS931" s="23">
        <v>64.63</v>
      </c>
      <c r="DT931" s="23">
        <v>64.63</v>
      </c>
      <c r="DU931" s="23" t="s">
        <v>755</v>
      </c>
      <c r="EQ931" s="23">
        <v>76.38</v>
      </c>
      <c r="ER931" s="23">
        <v>76.38</v>
      </c>
      <c r="FA931" s="31" t="s">
        <v>796</v>
      </c>
      <c r="FB931" s="31" t="s">
        <v>936</v>
      </c>
      <c r="FC931" s="23">
        <v>44</v>
      </c>
    </row>
    <row r="932" spans="1:159" s="23" customFormat="1" x14ac:dyDescent="0.25">
      <c r="A932" s="23">
        <v>44</v>
      </c>
      <c r="B932" s="23" t="s">
        <v>757</v>
      </c>
      <c r="C932" s="23" t="s">
        <v>758</v>
      </c>
      <c r="D932" s="23">
        <v>2000</v>
      </c>
      <c r="E932" s="23">
        <v>1998</v>
      </c>
      <c r="F932" s="23" t="s">
        <v>759</v>
      </c>
      <c r="G932" s="23" t="s">
        <v>765</v>
      </c>
      <c r="H932" s="23">
        <v>45.231000000000002</v>
      </c>
      <c r="I932" s="23">
        <v>-122.756</v>
      </c>
      <c r="J932" s="23">
        <v>48.4</v>
      </c>
      <c r="N932" s="23">
        <v>1040</v>
      </c>
      <c r="O932" s="23" t="s">
        <v>169</v>
      </c>
      <c r="P932" s="23" t="s">
        <v>181</v>
      </c>
      <c r="R932" s="53" t="s">
        <v>794</v>
      </c>
      <c r="S932" s="53" t="s">
        <v>1645</v>
      </c>
      <c r="T932" s="53" t="s">
        <v>1645</v>
      </c>
      <c r="U932" s="53"/>
      <c r="V932" s="23">
        <v>28</v>
      </c>
      <c r="W932" s="23">
        <v>54</v>
      </c>
      <c r="X932" s="23" t="s">
        <v>168</v>
      </c>
      <c r="AB932" s="23" t="s">
        <v>1524</v>
      </c>
      <c r="AC932" s="23" t="s">
        <v>940</v>
      </c>
      <c r="AD932" s="153" t="str">
        <f t="shared" si="228"/>
        <v>Triticale</v>
      </c>
      <c r="AE932" s="23" t="s">
        <v>768</v>
      </c>
      <c r="AG932" s="23" t="s">
        <v>775</v>
      </c>
      <c r="AH932" s="23" t="s">
        <v>775</v>
      </c>
      <c r="AI932" s="23" t="s">
        <v>230</v>
      </c>
      <c r="AP932" s="23" t="s">
        <v>154</v>
      </c>
      <c r="AQ932" s="23">
        <v>4</v>
      </c>
      <c r="AR932" s="23">
        <v>4</v>
      </c>
      <c r="AS932" s="23" t="s">
        <v>404</v>
      </c>
      <c r="BS932" s="31"/>
      <c r="DS932" s="23">
        <v>63.47</v>
      </c>
      <c r="DT932" s="23">
        <v>65.540000000000006</v>
      </c>
      <c r="DU932" s="23" t="s">
        <v>755</v>
      </c>
      <c r="EQ932" s="23">
        <v>71.930000000000007</v>
      </c>
      <c r="ER932" s="23">
        <v>48.55</v>
      </c>
      <c r="FA932" s="31" t="s">
        <v>796</v>
      </c>
      <c r="FB932" s="31" t="s">
        <v>936</v>
      </c>
      <c r="FC932" s="23">
        <v>44</v>
      </c>
    </row>
    <row r="933" spans="1:159" s="38" customFormat="1" x14ac:dyDescent="0.25">
      <c r="A933" s="38">
        <v>44</v>
      </c>
      <c r="B933" s="38" t="s">
        <v>757</v>
      </c>
      <c r="C933" s="38" t="s">
        <v>758</v>
      </c>
      <c r="D933" s="38">
        <v>2000</v>
      </c>
      <c r="E933" s="38">
        <v>1996</v>
      </c>
      <c r="F933" s="38" t="s">
        <v>759</v>
      </c>
      <c r="G933" s="38" t="s">
        <v>765</v>
      </c>
      <c r="H933" s="38">
        <v>45.231000000000002</v>
      </c>
      <c r="I933" s="38">
        <v>-122.756</v>
      </c>
      <c r="J933" s="38">
        <v>48.4</v>
      </c>
      <c r="N933" s="38">
        <v>1040</v>
      </c>
      <c r="O933" s="38" t="s">
        <v>169</v>
      </c>
      <c r="P933" s="38" t="s">
        <v>179</v>
      </c>
      <c r="R933" s="56" t="s">
        <v>792</v>
      </c>
      <c r="S933" s="57" t="s">
        <v>1645</v>
      </c>
      <c r="T933" s="57" t="s">
        <v>1645</v>
      </c>
      <c r="U933" s="57"/>
      <c r="V933" s="38">
        <v>28</v>
      </c>
      <c r="W933" s="38">
        <v>54</v>
      </c>
      <c r="X933" s="38" t="s">
        <v>168</v>
      </c>
      <c r="AB933" s="38" t="s">
        <v>1524</v>
      </c>
      <c r="AC933" s="38" t="s">
        <v>1859</v>
      </c>
      <c r="AD933" s="153" t="str">
        <f t="shared" si="228"/>
        <v>Triticale/Austrian_winter_pea</v>
      </c>
      <c r="AE933" s="38" t="s">
        <v>768</v>
      </c>
      <c r="AG933" s="38" t="s">
        <v>775</v>
      </c>
      <c r="AH933" s="38" t="s">
        <v>775</v>
      </c>
      <c r="AI933" s="38" t="s">
        <v>230</v>
      </c>
      <c r="AP933" s="38" t="s">
        <v>154</v>
      </c>
      <c r="AQ933" s="38">
        <v>4</v>
      </c>
      <c r="AR933" s="38">
        <v>4</v>
      </c>
      <c r="AS933" s="38" t="s">
        <v>404</v>
      </c>
      <c r="DS933" s="38">
        <v>54.72</v>
      </c>
      <c r="DT933" s="38">
        <v>61.34</v>
      </c>
      <c r="DU933" s="38" t="s">
        <v>755</v>
      </c>
      <c r="EQ933" s="38">
        <v>58.24</v>
      </c>
      <c r="ER933" s="38">
        <v>65.680000000000007</v>
      </c>
      <c r="FA933" s="31" t="s">
        <v>796</v>
      </c>
      <c r="FB933" s="31" t="s">
        <v>936</v>
      </c>
      <c r="FC933" s="38">
        <v>44</v>
      </c>
    </row>
    <row r="934" spans="1:159" s="38" customFormat="1" x14ac:dyDescent="0.25">
      <c r="A934" s="38">
        <v>44</v>
      </c>
      <c r="B934" s="38" t="s">
        <v>757</v>
      </c>
      <c r="C934" s="38" t="s">
        <v>758</v>
      </c>
      <c r="D934" s="38">
        <v>2000</v>
      </c>
      <c r="E934" s="38">
        <v>1997</v>
      </c>
      <c r="F934" s="38" t="s">
        <v>759</v>
      </c>
      <c r="G934" s="38" t="s">
        <v>765</v>
      </c>
      <c r="H934" s="38">
        <v>45.231000000000002</v>
      </c>
      <c r="I934" s="38">
        <v>-122.756</v>
      </c>
      <c r="J934" s="38">
        <v>48.4</v>
      </c>
      <c r="N934" s="38">
        <v>1040</v>
      </c>
      <c r="O934" s="38" t="s">
        <v>169</v>
      </c>
      <c r="P934" s="38" t="s">
        <v>180</v>
      </c>
      <c r="R934" s="56" t="s">
        <v>793</v>
      </c>
      <c r="S934" s="57" t="s">
        <v>1645</v>
      </c>
      <c r="T934" s="57" t="s">
        <v>1645</v>
      </c>
      <c r="U934" s="57"/>
      <c r="V934" s="38">
        <v>28</v>
      </c>
      <c r="W934" s="38">
        <v>54</v>
      </c>
      <c r="X934" s="38" t="s">
        <v>168</v>
      </c>
      <c r="AB934" s="38" t="s">
        <v>1524</v>
      </c>
      <c r="AC934" s="38" t="s">
        <v>1859</v>
      </c>
      <c r="AD934" s="153" t="str">
        <f t="shared" si="228"/>
        <v>Triticale/Austrian_winter_pea</v>
      </c>
      <c r="AE934" s="38" t="s">
        <v>768</v>
      </c>
      <c r="AG934" s="38" t="s">
        <v>775</v>
      </c>
      <c r="AH934" s="38" t="s">
        <v>775</v>
      </c>
      <c r="AI934" s="38" t="s">
        <v>230</v>
      </c>
      <c r="AP934" s="38" t="s">
        <v>154</v>
      </c>
      <c r="AQ934" s="38">
        <v>4</v>
      </c>
      <c r="AR934" s="38">
        <v>4</v>
      </c>
      <c r="AS934" s="38" t="s">
        <v>404</v>
      </c>
      <c r="DS934" s="38">
        <v>103.23</v>
      </c>
      <c r="DT934" s="38">
        <v>80.47</v>
      </c>
      <c r="DU934" s="38" t="s">
        <v>755</v>
      </c>
      <c r="EQ934" s="38">
        <v>129.22999999999999</v>
      </c>
      <c r="ER934" s="38">
        <v>134.54</v>
      </c>
      <c r="FA934" s="31" t="s">
        <v>796</v>
      </c>
      <c r="FB934" s="31" t="s">
        <v>936</v>
      </c>
      <c r="FC934" s="38">
        <v>44</v>
      </c>
    </row>
    <row r="935" spans="1:159" s="38" customFormat="1" x14ac:dyDescent="0.25">
      <c r="A935" s="38">
        <v>44</v>
      </c>
      <c r="B935" s="38" t="s">
        <v>757</v>
      </c>
      <c r="C935" s="38" t="s">
        <v>758</v>
      </c>
      <c r="D935" s="38">
        <v>2000</v>
      </c>
      <c r="E935" s="38">
        <v>1997</v>
      </c>
      <c r="F935" s="38" t="s">
        <v>759</v>
      </c>
      <c r="G935" s="38" t="s">
        <v>765</v>
      </c>
      <c r="H935" s="38">
        <v>45.231000000000002</v>
      </c>
      <c r="I935" s="38">
        <v>-122.756</v>
      </c>
      <c r="J935" s="38">
        <v>48.4</v>
      </c>
      <c r="N935" s="38">
        <v>1040</v>
      </c>
      <c r="O935" s="38" t="s">
        <v>169</v>
      </c>
      <c r="P935" s="38" t="s">
        <v>180</v>
      </c>
      <c r="R935" s="56" t="s">
        <v>792</v>
      </c>
      <c r="S935" s="57" t="s">
        <v>1645</v>
      </c>
      <c r="T935" s="57" t="s">
        <v>1645</v>
      </c>
      <c r="U935" s="57"/>
      <c r="V935" s="38">
        <v>28</v>
      </c>
      <c r="W935" s="38">
        <v>54</v>
      </c>
      <c r="X935" s="38" t="s">
        <v>168</v>
      </c>
      <c r="AB935" s="38" t="s">
        <v>1524</v>
      </c>
      <c r="AC935" s="38" t="s">
        <v>1859</v>
      </c>
      <c r="AD935" s="153" t="str">
        <f t="shared" si="228"/>
        <v>Triticale/Austrian_winter_pea</v>
      </c>
      <c r="AE935" s="38" t="s">
        <v>768</v>
      </c>
      <c r="AG935" s="38" t="s">
        <v>775</v>
      </c>
      <c r="AH935" s="38" t="s">
        <v>775</v>
      </c>
      <c r="AI935" s="38" t="s">
        <v>230</v>
      </c>
      <c r="AP935" s="38" t="s">
        <v>154</v>
      </c>
      <c r="AQ935" s="38">
        <v>4</v>
      </c>
      <c r="AR935" s="38">
        <v>4</v>
      </c>
      <c r="AS935" s="38" t="s">
        <v>404</v>
      </c>
      <c r="DS935" s="38">
        <v>57.78</v>
      </c>
      <c r="DT935" s="38">
        <v>66.88</v>
      </c>
      <c r="DU935" s="38" t="s">
        <v>755</v>
      </c>
      <c r="EQ935" s="38">
        <v>70.59</v>
      </c>
      <c r="ER935" s="38">
        <v>81.22</v>
      </c>
      <c r="FA935" s="31" t="s">
        <v>796</v>
      </c>
      <c r="FB935" s="31" t="s">
        <v>936</v>
      </c>
      <c r="FC935" s="38">
        <v>44</v>
      </c>
    </row>
    <row r="936" spans="1:159" s="38" customFormat="1" x14ac:dyDescent="0.25">
      <c r="A936" s="38">
        <v>44</v>
      </c>
      <c r="B936" s="38" t="s">
        <v>757</v>
      </c>
      <c r="C936" s="38" t="s">
        <v>758</v>
      </c>
      <c r="D936" s="38">
        <v>2000</v>
      </c>
      <c r="E936" s="38">
        <v>1997</v>
      </c>
      <c r="F936" s="38" t="s">
        <v>759</v>
      </c>
      <c r="G936" s="38" t="s">
        <v>765</v>
      </c>
      <c r="H936" s="38">
        <v>45.231000000000002</v>
      </c>
      <c r="I936" s="38">
        <v>-122.756</v>
      </c>
      <c r="J936" s="38">
        <v>48.4</v>
      </c>
      <c r="N936" s="38">
        <v>1040</v>
      </c>
      <c r="O936" s="38" t="s">
        <v>169</v>
      </c>
      <c r="P936" s="38" t="s">
        <v>180</v>
      </c>
      <c r="R936" s="56" t="s">
        <v>794</v>
      </c>
      <c r="S936" s="57" t="s">
        <v>1645</v>
      </c>
      <c r="T936" s="57" t="s">
        <v>1645</v>
      </c>
      <c r="U936" s="57"/>
      <c r="V936" s="38">
        <v>28</v>
      </c>
      <c r="W936" s="38">
        <v>54</v>
      </c>
      <c r="X936" s="38" t="s">
        <v>168</v>
      </c>
      <c r="AB936" s="38" t="s">
        <v>1524</v>
      </c>
      <c r="AC936" s="38" t="s">
        <v>1859</v>
      </c>
      <c r="AD936" s="153" t="str">
        <f t="shared" si="228"/>
        <v>Triticale/Austrian_winter_pea</v>
      </c>
      <c r="AE936" s="38" t="s">
        <v>768</v>
      </c>
      <c r="AG936" s="38" t="s">
        <v>775</v>
      </c>
      <c r="AH936" s="38" t="s">
        <v>775</v>
      </c>
      <c r="AI936" s="38" t="s">
        <v>230</v>
      </c>
      <c r="AP936" s="38" t="s">
        <v>154</v>
      </c>
      <c r="AQ936" s="38">
        <v>4</v>
      </c>
      <c r="AR936" s="38">
        <v>4</v>
      </c>
      <c r="AS936" s="38" t="s">
        <v>404</v>
      </c>
      <c r="DS936" s="38">
        <v>61.58</v>
      </c>
      <c r="DT936" s="38">
        <v>83.11</v>
      </c>
      <c r="DU936" s="38" t="s">
        <v>755</v>
      </c>
      <c r="EQ936" s="38">
        <v>85.28</v>
      </c>
      <c r="ER936" s="38">
        <v>111.84</v>
      </c>
      <c r="FA936" s="31" t="s">
        <v>796</v>
      </c>
      <c r="FB936" s="31" t="s">
        <v>936</v>
      </c>
      <c r="FC936" s="38">
        <v>44</v>
      </c>
    </row>
    <row r="937" spans="1:159" s="38" customFormat="1" x14ac:dyDescent="0.25">
      <c r="A937" s="38">
        <v>44</v>
      </c>
      <c r="B937" s="38" t="s">
        <v>757</v>
      </c>
      <c r="C937" s="38" t="s">
        <v>758</v>
      </c>
      <c r="D937" s="38">
        <v>2000</v>
      </c>
      <c r="E937" s="38">
        <v>1998</v>
      </c>
      <c r="F937" s="38" t="s">
        <v>759</v>
      </c>
      <c r="G937" s="38" t="s">
        <v>765</v>
      </c>
      <c r="H937" s="38">
        <v>45.231000000000002</v>
      </c>
      <c r="I937" s="38">
        <v>-122.756</v>
      </c>
      <c r="J937" s="38">
        <v>48.4</v>
      </c>
      <c r="N937" s="38">
        <v>1040</v>
      </c>
      <c r="O937" s="38" t="s">
        <v>169</v>
      </c>
      <c r="P937" s="38" t="s">
        <v>181</v>
      </c>
      <c r="R937" s="56" t="s">
        <v>793</v>
      </c>
      <c r="S937" s="57" t="s">
        <v>1645</v>
      </c>
      <c r="T937" s="57" t="s">
        <v>1645</v>
      </c>
      <c r="U937" s="57"/>
      <c r="V937" s="38">
        <v>28</v>
      </c>
      <c r="W937" s="38">
        <v>54</v>
      </c>
      <c r="X937" s="38" t="s">
        <v>168</v>
      </c>
      <c r="AB937" s="38" t="s">
        <v>1524</v>
      </c>
      <c r="AC937" s="38" t="s">
        <v>1859</v>
      </c>
      <c r="AD937" s="153" t="str">
        <f t="shared" si="228"/>
        <v>Triticale/Austrian_winter_pea</v>
      </c>
      <c r="AE937" s="38" t="s">
        <v>768</v>
      </c>
      <c r="AG937" s="38" t="s">
        <v>775</v>
      </c>
      <c r="AH937" s="38" t="s">
        <v>775</v>
      </c>
      <c r="AI937" s="38" t="s">
        <v>230</v>
      </c>
      <c r="AP937" s="38" t="s">
        <v>154</v>
      </c>
      <c r="AQ937" s="38">
        <v>4</v>
      </c>
      <c r="AR937" s="38">
        <v>4</v>
      </c>
      <c r="AS937" s="38" t="s">
        <v>404</v>
      </c>
      <c r="DS937" s="38">
        <v>69.11</v>
      </c>
      <c r="DT937" s="38">
        <v>98.9</v>
      </c>
      <c r="DU937" s="38" t="s">
        <v>755</v>
      </c>
      <c r="EQ937" s="38">
        <v>102.08</v>
      </c>
      <c r="ER937" s="38">
        <v>145.63999999999999</v>
      </c>
      <c r="FA937" s="31" t="s">
        <v>796</v>
      </c>
      <c r="FB937" s="31" t="s">
        <v>936</v>
      </c>
      <c r="FC937" s="38">
        <v>44</v>
      </c>
    </row>
    <row r="938" spans="1:159" s="38" customFormat="1" x14ac:dyDescent="0.25">
      <c r="A938" s="38">
        <v>44</v>
      </c>
      <c r="B938" s="38" t="s">
        <v>757</v>
      </c>
      <c r="C938" s="38" t="s">
        <v>758</v>
      </c>
      <c r="D938" s="38">
        <v>2000</v>
      </c>
      <c r="E938" s="38">
        <v>1998</v>
      </c>
      <c r="F938" s="38" t="s">
        <v>759</v>
      </c>
      <c r="G938" s="38" t="s">
        <v>765</v>
      </c>
      <c r="H938" s="38">
        <v>45.231000000000002</v>
      </c>
      <c r="I938" s="38">
        <v>-122.756</v>
      </c>
      <c r="J938" s="38">
        <v>48.4</v>
      </c>
      <c r="N938" s="38">
        <v>1040</v>
      </c>
      <c r="O938" s="38" t="s">
        <v>169</v>
      </c>
      <c r="P938" s="38" t="s">
        <v>181</v>
      </c>
      <c r="R938" s="56" t="s">
        <v>792</v>
      </c>
      <c r="S938" s="57" t="s">
        <v>1645</v>
      </c>
      <c r="T938" s="57" t="s">
        <v>1645</v>
      </c>
      <c r="U938" s="57"/>
      <c r="V938" s="38">
        <v>28</v>
      </c>
      <c r="W938" s="38">
        <v>54</v>
      </c>
      <c r="X938" s="38" t="s">
        <v>168</v>
      </c>
      <c r="AB938" s="38" t="s">
        <v>1524</v>
      </c>
      <c r="AC938" s="38" t="s">
        <v>1859</v>
      </c>
      <c r="AD938" s="153" t="str">
        <f t="shared" si="228"/>
        <v>Triticale/Austrian_winter_pea</v>
      </c>
      <c r="AE938" s="38" t="s">
        <v>768</v>
      </c>
      <c r="AG938" s="38" t="s">
        <v>775</v>
      </c>
      <c r="AH938" s="38" t="s">
        <v>775</v>
      </c>
      <c r="AI938" s="38" t="s">
        <v>230</v>
      </c>
      <c r="AP938" s="38" t="s">
        <v>154</v>
      </c>
      <c r="AQ938" s="38">
        <v>4</v>
      </c>
      <c r="AR938" s="38">
        <v>4</v>
      </c>
      <c r="AS938" s="38" t="s">
        <v>404</v>
      </c>
      <c r="DS938" s="38">
        <v>64.63</v>
      </c>
      <c r="DT938" s="38">
        <v>77.459999999999994</v>
      </c>
      <c r="DU938" s="38" t="s">
        <v>755</v>
      </c>
      <c r="EQ938" s="38">
        <v>76.38</v>
      </c>
      <c r="ER938" s="38">
        <v>95.5</v>
      </c>
      <c r="FA938" s="31" t="s">
        <v>796</v>
      </c>
      <c r="FB938" s="31" t="s">
        <v>936</v>
      </c>
      <c r="FC938" s="38">
        <v>44</v>
      </c>
    </row>
    <row r="939" spans="1:159" s="38" customFormat="1" x14ac:dyDescent="0.25">
      <c r="A939" s="38">
        <v>44</v>
      </c>
      <c r="B939" s="38" t="s">
        <v>757</v>
      </c>
      <c r="C939" s="38" t="s">
        <v>758</v>
      </c>
      <c r="D939" s="38">
        <v>2000</v>
      </c>
      <c r="E939" s="38">
        <v>1998</v>
      </c>
      <c r="F939" s="38" t="s">
        <v>759</v>
      </c>
      <c r="G939" s="38" t="s">
        <v>765</v>
      </c>
      <c r="H939" s="38">
        <v>45.231000000000002</v>
      </c>
      <c r="I939" s="38">
        <v>-122.756</v>
      </c>
      <c r="J939" s="38">
        <v>48.4</v>
      </c>
      <c r="N939" s="38">
        <v>1040</v>
      </c>
      <c r="O939" s="38" t="s">
        <v>169</v>
      </c>
      <c r="P939" s="38" t="s">
        <v>181</v>
      </c>
      <c r="R939" s="56" t="s">
        <v>794</v>
      </c>
      <c r="S939" s="57" t="s">
        <v>1645</v>
      </c>
      <c r="T939" s="57" t="s">
        <v>1645</v>
      </c>
      <c r="U939" s="57"/>
      <c r="V939" s="38">
        <v>28</v>
      </c>
      <c r="W939" s="38">
        <v>54</v>
      </c>
      <c r="X939" s="38" t="s">
        <v>168</v>
      </c>
      <c r="AB939" s="38" t="s">
        <v>1524</v>
      </c>
      <c r="AC939" s="38" t="s">
        <v>1859</v>
      </c>
      <c r="AD939" s="153" t="str">
        <f t="shared" si="228"/>
        <v>Triticale/Austrian_winter_pea</v>
      </c>
      <c r="AE939" s="38" t="s">
        <v>768</v>
      </c>
      <c r="AG939" s="38" t="s">
        <v>775</v>
      </c>
      <c r="AH939" s="38" t="s">
        <v>775</v>
      </c>
      <c r="AI939" s="38" t="s">
        <v>230</v>
      </c>
      <c r="AP939" s="38" t="s">
        <v>154</v>
      </c>
      <c r="AQ939" s="38">
        <v>4</v>
      </c>
      <c r="AR939" s="38">
        <v>4</v>
      </c>
      <c r="AS939" s="38" t="s">
        <v>404</v>
      </c>
      <c r="DS939" s="38">
        <v>63.47</v>
      </c>
      <c r="DT939" s="38">
        <v>80</v>
      </c>
      <c r="DU939" s="38" t="s">
        <v>755</v>
      </c>
      <c r="EQ939" s="38">
        <v>71.930000000000007</v>
      </c>
      <c r="ER939" s="38">
        <v>91.05</v>
      </c>
      <c r="FA939" s="31" t="s">
        <v>796</v>
      </c>
      <c r="FB939" s="31" t="s">
        <v>936</v>
      </c>
      <c r="FC939" s="38">
        <v>44</v>
      </c>
    </row>
    <row r="940" spans="1:159" s="23" customFormat="1" x14ac:dyDescent="0.25">
      <c r="A940" s="23">
        <v>44</v>
      </c>
      <c r="B940" s="23" t="s">
        <v>757</v>
      </c>
      <c r="C940" s="23" t="s">
        <v>758</v>
      </c>
      <c r="D940" s="23">
        <v>2000</v>
      </c>
      <c r="E940" s="23">
        <v>1996</v>
      </c>
      <c r="F940" s="23" t="s">
        <v>759</v>
      </c>
      <c r="G940" s="23" t="s">
        <v>766</v>
      </c>
      <c r="H940" s="23">
        <v>44.94</v>
      </c>
      <c r="I940" s="23">
        <v>-122.93</v>
      </c>
      <c r="J940" s="23">
        <v>66.5</v>
      </c>
      <c r="N940" s="23">
        <v>1040</v>
      </c>
      <c r="O940" s="23" t="s">
        <v>169</v>
      </c>
      <c r="P940" s="23" t="s">
        <v>179</v>
      </c>
      <c r="R940" s="53" t="s">
        <v>792</v>
      </c>
      <c r="S940" s="53" t="s">
        <v>1645</v>
      </c>
      <c r="T940" s="53" t="s">
        <v>1645</v>
      </c>
      <c r="V940" s="23">
        <v>22</v>
      </c>
      <c r="W940" s="23">
        <v>52</v>
      </c>
      <c r="X940" s="23" t="s">
        <v>168</v>
      </c>
      <c r="AB940" s="23" t="s">
        <v>1524</v>
      </c>
      <c r="AC940" s="23" t="s">
        <v>769</v>
      </c>
      <c r="AD940" s="153" t="str">
        <f t="shared" si="228"/>
        <v>Mixed</v>
      </c>
      <c r="AE940" s="23" t="s">
        <v>167</v>
      </c>
      <c r="AG940" s="23" t="s">
        <v>776</v>
      </c>
      <c r="AH940" s="23" t="s">
        <v>776</v>
      </c>
      <c r="AI940" s="23" t="s">
        <v>230</v>
      </c>
      <c r="AP940" s="23" t="s">
        <v>154</v>
      </c>
      <c r="AQ940" s="23">
        <v>4</v>
      </c>
      <c r="AR940" s="23">
        <v>4</v>
      </c>
      <c r="AS940" s="23" t="s">
        <v>404</v>
      </c>
      <c r="BS940" s="31"/>
      <c r="DS940" s="23">
        <v>62.61</v>
      </c>
      <c r="DT940" s="23">
        <v>109.32</v>
      </c>
      <c r="DU940" s="23" t="s">
        <v>755</v>
      </c>
      <c r="EQ940" s="23">
        <v>71.44</v>
      </c>
      <c r="ER940" s="23">
        <v>113.75</v>
      </c>
      <c r="FA940" s="31" t="s">
        <v>796</v>
      </c>
      <c r="FB940" s="31" t="s">
        <v>936</v>
      </c>
      <c r="FC940" s="23">
        <v>44</v>
      </c>
    </row>
    <row r="941" spans="1:159" s="23" customFormat="1" x14ac:dyDescent="0.25">
      <c r="A941" s="23">
        <v>44</v>
      </c>
      <c r="B941" s="23" t="s">
        <v>757</v>
      </c>
      <c r="C941" s="23" t="s">
        <v>758</v>
      </c>
      <c r="D941" s="23">
        <v>2000</v>
      </c>
      <c r="E941" s="23">
        <v>1997</v>
      </c>
      <c r="F941" s="23" t="s">
        <v>759</v>
      </c>
      <c r="G941" s="23" t="s">
        <v>766</v>
      </c>
      <c r="H941" s="23">
        <v>44.94</v>
      </c>
      <c r="I941" s="23">
        <v>-122.93</v>
      </c>
      <c r="J941" s="23">
        <v>66.5</v>
      </c>
      <c r="N941" s="23">
        <v>1040</v>
      </c>
      <c r="O941" s="23" t="s">
        <v>169</v>
      </c>
      <c r="P941" s="23" t="s">
        <v>180</v>
      </c>
      <c r="R941" s="53" t="s">
        <v>793</v>
      </c>
      <c r="S941" s="53" t="s">
        <v>1645</v>
      </c>
      <c r="T941" s="53" t="s">
        <v>1645</v>
      </c>
      <c r="V941" s="23">
        <v>22</v>
      </c>
      <c r="W941" s="23">
        <v>52</v>
      </c>
      <c r="X941" s="23" t="s">
        <v>168</v>
      </c>
      <c r="AB941" s="23" t="s">
        <v>1524</v>
      </c>
      <c r="AC941" s="23" t="s">
        <v>769</v>
      </c>
      <c r="AD941" s="153" t="str">
        <f t="shared" si="228"/>
        <v>Mixed</v>
      </c>
      <c r="AE941" s="23" t="s">
        <v>167</v>
      </c>
      <c r="AG941" s="23" t="s">
        <v>776</v>
      </c>
      <c r="AH941" s="23" t="s">
        <v>776</v>
      </c>
      <c r="AI941" s="23" t="s">
        <v>230</v>
      </c>
      <c r="AP941" s="23" t="s">
        <v>154</v>
      </c>
      <c r="AQ941" s="23">
        <v>4</v>
      </c>
      <c r="AR941" s="23">
        <v>4</v>
      </c>
      <c r="AS941" s="23" t="s">
        <v>404</v>
      </c>
      <c r="BS941" s="31"/>
      <c r="DS941" s="23">
        <v>104.33</v>
      </c>
      <c r="DT941" s="23">
        <v>151.44999999999999</v>
      </c>
      <c r="DU941" s="23" t="s">
        <v>755</v>
      </c>
      <c r="EQ941" s="23">
        <v>118.58</v>
      </c>
      <c r="ER941" s="23">
        <v>199.99</v>
      </c>
      <c r="FA941" s="31" t="s">
        <v>796</v>
      </c>
      <c r="FB941" s="31" t="s">
        <v>936</v>
      </c>
      <c r="FC941" s="23">
        <v>44</v>
      </c>
    </row>
    <row r="942" spans="1:159" s="23" customFormat="1" x14ac:dyDescent="0.25">
      <c r="A942" s="23">
        <v>44</v>
      </c>
      <c r="B942" s="23" t="s">
        <v>757</v>
      </c>
      <c r="C942" s="23" t="s">
        <v>758</v>
      </c>
      <c r="D942" s="23">
        <v>2000</v>
      </c>
      <c r="E942" s="23">
        <v>1997</v>
      </c>
      <c r="F942" s="23" t="s">
        <v>759</v>
      </c>
      <c r="G942" s="23" t="s">
        <v>766</v>
      </c>
      <c r="H942" s="23">
        <v>44.94</v>
      </c>
      <c r="I942" s="23">
        <v>-122.93</v>
      </c>
      <c r="J942" s="23">
        <v>66.5</v>
      </c>
      <c r="N942" s="23">
        <v>1040</v>
      </c>
      <c r="O942" s="23" t="s">
        <v>169</v>
      </c>
      <c r="P942" s="23" t="s">
        <v>180</v>
      </c>
      <c r="R942" s="53" t="s">
        <v>792</v>
      </c>
      <c r="S942" s="53" t="s">
        <v>1645</v>
      </c>
      <c r="T942" s="53" t="s">
        <v>1645</v>
      </c>
      <c r="V942" s="23">
        <v>22</v>
      </c>
      <c r="W942" s="23">
        <v>52</v>
      </c>
      <c r="X942" s="23" t="s">
        <v>168</v>
      </c>
      <c r="AB942" s="23" t="s">
        <v>1524</v>
      </c>
      <c r="AC942" s="23" t="s">
        <v>769</v>
      </c>
      <c r="AD942" s="153" t="str">
        <f t="shared" si="228"/>
        <v>Mixed</v>
      </c>
      <c r="AE942" s="23" t="s">
        <v>167</v>
      </c>
      <c r="AG942" s="23" t="s">
        <v>776</v>
      </c>
      <c r="AH942" s="23" t="s">
        <v>776</v>
      </c>
      <c r="AI942" s="23" t="s">
        <v>230</v>
      </c>
      <c r="AP942" s="23" t="s">
        <v>154</v>
      </c>
      <c r="AQ942" s="23">
        <v>4</v>
      </c>
      <c r="AR942" s="23">
        <v>4</v>
      </c>
      <c r="AS942" s="23" t="s">
        <v>404</v>
      </c>
      <c r="BS942" s="31"/>
      <c r="DS942" s="23">
        <v>78.44</v>
      </c>
      <c r="DT942" s="23">
        <v>114.91</v>
      </c>
      <c r="DU942" s="23" t="s">
        <v>755</v>
      </c>
      <c r="EQ942" s="23">
        <v>125.52</v>
      </c>
      <c r="ER942" s="23">
        <v>163.59</v>
      </c>
      <c r="FA942" s="31" t="s">
        <v>796</v>
      </c>
      <c r="FB942" s="31" t="s">
        <v>936</v>
      </c>
      <c r="FC942" s="23">
        <v>44</v>
      </c>
    </row>
    <row r="943" spans="1:159" s="23" customFormat="1" x14ac:dyDescent="0.25">
      <c r="A943" s="23">
        <v>44</v>
      </c>
      <c r="B943" s="23" t="s">
        <v>757</v>
      </c>
      <c r="C943" s="23" t="s">
        <v>758</v>
      </c>
      <c r="D943" s="23">
        <v>2000</v>
      </c>
      <c r="E943" s="23">
        <v>1997</v>
      </c>
      <c r="F943" s="23" t="s">
        <v>759</v>
      </c>
      <c r="G943" s="23" t="s">
        <v>766</v>
      </c>
      <c r="H943" s="23">
        <v>44.94</v>
      </c>
      <c r="I943" s="23">
        <v>-122.93</v>
      </c>
      <c r="J943" s="23">
        <v>66.5</v>
      </c>
      <c r="N943" s="23">
        <v>1040</v>
      </c>
      <c r="O943" s="23" t="s">
        <v>169</v>
      </c>
      <c r="P943" s="23" t="s">
        <v>180</v>
      </c>
      <c r="R943" s="53" t="s">
        <v>794</v>
      </c>
      <c r="S943" s="53" t="s">
        <v>1645</v>
      </c>
      <c r="T943" s="53" t="s">
        <v>1645</v>
      </c>
      <c r="V943" s="23">
        <v>22</v>
      </c>
      <c r="W943" s="23">
        <v>52</v>
      </c>
      <c r="X943" s="23" t="s">
        <v>168</v>
      </c>
      <c r="AB943" s="23" t="s">
        <v>1524</v>
      </c>
      <c r="AC943" s="23" t="s">
        <v>769</v>
      </c>
      <c r="AD943" s="153" t="str">
        <f t="shared" si="228"/>
        <v>Mixed</v>
      </c>
      <c r="AE943" s="23" t="s">
        <v>167</v>
      </c>
      <c r="AG943" s="23" t="s">
        <v>776</v>
      </c>
      <c r="AH943" s="23" t="s">
        <v>776</v>
      </c>
      <c r="AI943" s="23" t="s">
        <v>230</v>
      </c>
      <c r="AP943" s="23" t="s">
        <v>154</v>
      </c>
      <c r="AQ943" s="23">
        <v>4</v>
      </c>
      <c r="AR943" s="23">
        <v>4</v>
      </c>
      <c r="AS943" s="23" t="s">
        <v>404</v>
      </c>
      <c r="BS943" s="31"/>
      <c r="DS943" s="23">
        <v>106.22</v>
      </c>
      <c r="DT943" s="23">
        <v>152.93</v>
      </c>
      <c r="DU943" s="23" t="s">
        <v>755</v>
      </c>
      <c r="EQ943" s="23">
        <v>119.78</v>
      </c>
      <c r="ER943" s="23">
        <v>167.37</v>
      </c>
      <c r="FA943" s="31" t="s">
        <v>796</v>
      </c>
      <c r="FB943" s="31" t="s">
        <v>936</v>
      </c>
      <c r="FC943" s="23">
        <v>44</v>
      </c>
    </row>
    <row r="944" spans="1:159" s="23" customFormat="1" x14ac:dyDescent="0.25">
      <c r="A944" s="23">
        <v>44</v>
      </c>
      <c r="B944" s="23" t="s">
        <v>757</v>
      </c>
      <c r="C944" s="23" t="s">
        <v>758</v>
      </c>
      <c r="D944" s="23">
        <v>2000</v>
      </c>
      <c r="E944" s="23">
        <v>1998</v>
      </c>
      <c r="F944" s="23" t="s">
        <v>759</v>
      </c>
      <c r="G944" s="23" t="s">
        <v>766</v>
      </c>
      <c r="H944" s="23">
        <v>44.94</v>
      </c>
      <c r="I944" s="23">
        <v>-122.93</v>
      </c>
      <c r="J944" s="23">
        <v>66.5</v>
      </c>
      <c r="N944" s="23">
        <v>1040</v>
      </c>
      <c r="O944" s="23" t="s">
        <v>169</v>
      </c>
      <c r="P944" s="23" t="s">
        <v>181</v>
      </c>
      <c r="R944" s="53" t="s">
        <v>793</v>
      </c>
      <c r="S944" s="53" t="s">
        <v>1645</v>
      </c>
      <c r="T944" s="53" t="s">
        <v>1645</v>
      </c>
      <c r="V944" s="23">
        <v>22</v>
      </c>
      <c r="W944" s="23">
        <v>52</v>
      </c>
      <c r="X944" s="23" t="s">
        <v>168</v>
      </c>
      <c r="AB944" s="23" t="s">
        <v>1524</v>
      </c>
      <c r="AC944" s="23" t="s">
        <v>769</v>
      </c>
      <c r="AD944" s="153" t="str">
        <f t="shared" si="228"/>
        <v>Mixed</v>
      </c>
      <c r="AE944" s="23" t="s">
        <v>167</v>
      </c>
      <c r="AG944" s="23" t="s">
        <v>776</v>
      </c>
      <c r="AH944" s="23" t="s">
        <v>776</v>
      </c>
      <c r="AI944" s="23" t="s">
        <v>230</v>
      </c>
      <c r="AP944" s="23" t="s">
        <v>154</v>
      </c>
      <c r="AQ944" s="23">
        <v>4</v>
      </c>
      <c r="AR944" s="23">
        <v>4</v>
      </c>
      <c r="AS944" s="23" t="s">
        <v>404</v>
      </c>
      <c r="BS944" s="31"/>
      <c r="DS944" s="23">
        <v>117.21</v>
      </c>
      <c r="DT944" s="23">
        <v>170.88</v>
      </c>
      <c r="DU944" s="23" t="s">
        <v>755</v>
      </c>
      <c r="EQ944" s="23">
        <v>139.41</v>
      </c>
      <c r="ER944" s="23">
        <v>232.47</v>
      </c>
      <c r="FA944" s="31" t="s">
        <v>796</v>
      </c>
      <c r="FB944" s="31" t="s">
        <v>936</v>
      </c>
      <c r="FC944" s="23">
        <v>44</v>
      </c>
    </row>
    <row r="945" spans="1:159" s="23" customFormat="1" x14ac:dyDescent="0.25">
      <c r="A945" s="23">
        <v>44</v>
      </c>
      <c r="B945" s="23" t="s">
        <v>757</v>
      </c>
      <c r="C945" s="23" t="s">
        <v>758</v>
      </c>
      <c r="D945" s="23">
        <v>2000</v>
      </c>
      <c r="E945" s="23">
        <v>1998</v>
      </c>
      <c r="F945" s="23" t="s">
        <v>759</v>
      </c>
      <c r="G945" s="23" t="s">
        <v>766</v>
      </c>
      <c r="H945" s="23">
        <v>44.94</v>
      </c>
      <c r="I945" s="23">
        <v>-122.93</v>
      </c>
      <c r="J945" s="23">
        <v>66.5</v>
      </c>
      <c r="N945" s="23">
        <v>1040</v>
      </c>
      <c r="O945" s="23" t="s">
        <v>169</v>
      </c>
      <c r="P945" s="23" t="s">
        <v>181</v>
      </c>
      <c r="R945" s="53" t="s">
        <v>792</v>
      </c>
      <c r="S945" s="53" t="s">
        <v>1645</v>
      </c>
      <c r="T945" s="53" t="s">
        <v>1645</v>
      </c>
      <c r="V945" s="23">
        <v>22</v>
      </c>
      <c r="W945" s="23">
        <v>52</v>
      </c>
      <c r="X945" s="23" t="s">
        <v>168</v>
      </c>
      <c r="AB945" s="23" t="s">
        <v>1524</v>
      </c>
      <c r="AC945" s="23" t="s">
        <v>769</v>
      </c>
      <c r="AD945" s="153" t="str">
        <f t="shared" si="228"/>
        <v>Mixed</v>
      </c>
      <c r="AE945" s="23" t="s">
        <v>167</v>
      </c>
      <c r="AG945" s="23" t="s">
        <v>776</v>
      </c>
      <c r="AH945" s="23" t="s">
        <v>776</v>
      </c>
      <c r="AI945" s="23" t="s">
        <v>230</v>
      </c>
      <c r="AP945" s="23" t="s">
        <v>154</v>
      </c>
      <c r="AQ945" s="23">
        <v>4</v>
      </c>
      <c r="AR945" s="23">
        <v>4</v>
      </c>
      <c r="AS945" s="23" t="s">
        <v>404</v>
      </c>
      <c r="BS945" s="31"/>
      <c r="DS945" s="23">
        <v>103.61</v>
      </c>
      <c r="DT945" s="23">
        <v>178.6</v>
      </c>
      <c r="DU945" s="23" t="s">
        <v>755</v>
      </c>
      <c r="EQ945" s="23">
        <v>278.55</v>
      </c>
      <c r="ER945" s="23">
        <v>383.25</v>
      </c>
      <c r="FA945" s="31" t="s">
        <v>796</v>
      </c>
      <c r="FB945" s="31" t="s">
        <v>936</v>
      </c>
      <c r="FC945" s="23">
        <v>44</v>
      </c>
    </row>
    <row r="946" spans="1:159" s="23" customFormat="1" x14ac:dyDescent="0.25">
      <c r="A946" s="23">
        <v>44</v>
      </c>
      <c r="B946" s="23" t="s">
        <v>757</v>
      </c>
      <c r="C946" s="23" t="s">
        <v>758</v>
      </c>
      <c r="D946" s="23">
        <v>2000</v>
      </c>
      <c r="E946" s="23">
        <v>1998</v>
      </c>
      <c r="F946" s="23" t="s">
        <v>759</v>
      </c>
      <c r="G946" s="23" t="s">
        <v>766</v>
      </c>
      <c r="H946" s="23">
        <v>44.94</v>
      </c>
      <c r="I946" s="23">
        <v>-122.93</v>
      </c>
      <c r="J946" s="23">
        <v>66.5</v>
      </c>
      <c r="N946" s="23">
        <v>1040</v>
      </c>
      <c r="O946" s="23" t="s">
        <v>169</v>
      </c>
      <c r="P946" s="23" t="s">
        <v>181</v>
      </c>
      <c r="R946" s="53" t="s">
        <v>794</v>
      </c>
      <c r="S946" s="53" t="s">
        <v>1645</v>
      </c>
      <c r="T946" s="53" t="s">
        <v>1645</v>
      </c>
      <c r="V946" s="23">
        <v>22</v>
      </c>
      <c r="W946" s="23">
        <v>52</v>
      </c>
      <c r="X946" s="23" t="s">
        <v>168</v>
      </c>
      <c r="AB946" s="23" t="s">
        <v>1524</v>
      </c>
      <c r="AC946" s="23" t="s">
        <v>769</v>
      </c>
      <c r="AD946" s="153" t="str">
        <f t="shared" si="228"/>
        <v>Mixed</v>
      </c>
      <c r="AE946" s="23" t="s">
        <v>167</v>
      </c>
      <c r="AG946" s="23" t="s">
        <v>776</v>
      </c>
      <c r="AH946" s="23" t="s">
        <v>776</v>
      </c>
      <c r="AI946" s="23" t="s">
        <v>230</v>
      </c>
      <c r="AP946" s="23" t="s">
        <v>154</v>
      </c>
      <c r="AQ946" s="23">
        <v>4</v>
      </c>
      <c r="AR946" s="23">
        <v>4</v>
      </c>
      <c r="AS946" s="23" t="s">
        <v>404</v>
      </c>
      <c r="BS946" s="31"/>
      <c r="DS946" s="23">
        <v>104.35</v>
      </c>
      <c r="DT946" s="23">
        <v>181.39</v>
      </c>
      <c r="DU946" s="23" t="s">
        <v>755</v>
      </c>
      <c r="EQ946" s="23">
        <v>136.37</v>
      </c>
      <c r="ER946" s="23">
        <v>194.53</v>
      </c>
      <c r="FA946" s="31" t="s">
        <v>796</v>
      </c>
      <c r="FB946" s="31" t="s">
        <v>936</v>
      </c>
      <c r="FC946" s="23">
        <v>44</v>
      </c>
    </row>
    <row r="947" spans="1:159" s="26" customFormat="1" x14ac:dyDescent="0.25">
      <c r="A947" s="26">
        <v>45</v>
      </c>
      <c r="B947" s="26" t="s">
        <v>797</v>
      </c>
      <c r="C947" s="26" t="s">
        <v>798</v>
      </c>
      <c r="D947" s="26">
        <v>2005</v>
      </c>
      <c r="E947" s="26">
        <v>1994</v>
      </c>
      <c r="F947" s="26" t="s">
        <v>363</v>
      </c>
      <c r="G947" s="26" t="s">
        <v>644</v>
      </c>
      <c r="H947" s="26">
        <v>40.19</v>
      </c>
      <c r="I947" s="26">
        <v>-103.17</v>
      </c>
      <c r="J947" s="26">
        <v>1384</v>
      </c>
      <c r="P947" s="52" t="s">
        <v>179</v>
      </c>
      <c r="Q947" s="52"/>
      <c r="R947" s="52"/>
      <c r="S947" s="52" t="s">
        <v>1647</v>
      </c>
      <c r="T947" s="52" t="s">
        <v>1647</v>
      </c>
      <c r="X947" s="26" t="s">
        <v>168</v>
      </c>
      <c r="AB947" s="26" t="s">
        <v>1576</v>
      </c>
      <c r="AC947" s="26" t="s">
        <v>1821</v>
      </c>
      <c r="AD947" s="153" t="str">
        <f t="shared" si="228"/>
        <v>Austrian_winter_pea</v>
      </c>
      <c r="AE947" s="26" t="s">
        <v>150</v>
      </c>
      <c r="AJ947" s="26" t="s">
        <v>799</v>
      </c>
      <c r="AK947" s="26" t="s">
        <v>799</v>
      </c>
      <c r="AL947" s="26" t="s">
        <v>230</v>
      </c>
      <c r="AM947" s="26" t="s">
        <v>800</v>
      </c>
      <c r="AN947" s="26" t="s">
        <v>800</v>
      </c>
      <c r="AO947" s="26" t="s">
        <v>230</v>
      </c>
      <c r="AP947" s="26" t="s">
        <v>154</v>
      </c>
      <c r="AQ947" s="26">
        <v>4</v>
      </c>
      <c r="AR947" s="26">
        <v>4</v>
      </c>
      <c r="AS947" s="26" t="s">
        <v>404</v>
      </c>
      <c r="BB947" s="26">
        <v>3979</v>
      </c>
      <c r="BC947" s="26">
        <v>2670</v>
      </c>
      <c r="BK947" s="26">
        <f>(56+19)/2</f>
        <v>37.5</v>
      </c>
      <c r="BL947" s="26">
        <f>(35+7)/2</f>
        <v>21</v>
      </c>
      <c r="BM947" s="26" t="s">
        <v>817</v>
      </c>
      <c r="DJ947" s="26">
        <v>245</v>
      </c>
      <c r="DK947" s="26">
        <v>173</v>
      </c>
      <c r="DL947" s="26" t="s">
        <v>801</v>
      </c>
      <c r="FA947" s="26" t="s">
        <v>873</v>
      </c>
      <c r="FC947" s="26">
        <v>45</v>
      </c>
    </row>
    <row r="948" spans="1:159" s="26" customFormat="1" x14ac:dyDescent="0.25">
      <c r="A948" s="26">
        <v>45</v>
      </c>
      <c r="B948" s="26" t="s">
        <v>797</v>
      </c>
      <c r="C948" s="26" t="s">
        <v>798</v>
      </c>
      <c r="D948" s="26">
        <v>2005</v>
      </c>
      <c r="E948" s="26">
        <v>1994</v>
      </c>
      <c r="F948" s="26" t="s">
        <v>363</v>
      </c>
      <c r="G948" s="26" t="s">
        <v>644</v>
      </c>
      <c r="H948" s="26">
        <v>40.19</v>
      </c>
      <c r="I948" s="26">
        <v>-103.17</v>
      </c>
      <c r="J948" s="26">
        <v>1384</v>
      </c>
      <c r="P948" s="52" t="s">
        <v>179</v>
      </c>
      <c r="Q948" s="52"/>
      <c r="R948" s="52"/>
      <c r="S948" s="52" t="s">
        <v>1647</v>
      </c>
      <c r="T948" s="52" t="s">
        <v>1647</v>
      </c>
      <c r="X948" s="26" t="s">
        <v>168</v>
      </c>
      <c r="AB948" s="26" t="s">
        <v>1576</v>
      </c>
      <c r="AC948" s="26" t="s">
        <v>1822</v>
      </c>
      <c r="AD948" s="153" t="str">
        <f t="shared" si="228"/>
        <v>Field_pea</v>
      </c>
      <c r="AE948" s="26" t="s">
        <v>150</v>
      </c>
      <c r="AJ948" s="26" t="s">
        <v>799</v>
      </c>
      <c r="AK948" s="26" t="s">
        <v>799</v>
      </c>
      <c r="AL948" s="26" t="s">
        <v>230</v>
      </c>
      <c r="AM948" s="26" t="s">
        <v>800</v>
      </c>
      <c r="AN948" s="26" t="s">
        <v>800</v>
      </c>
      <c r="AO948" s="26" t="s">
        <v>230</v>
      </c>
      <c r="AP948" s="26" t="s">
        <v>154</v>
      </c>
      <c r="AQ948" s="26">
        <v>4</v>
      </c>
      <c r="AR948" s="26">
        <v>4</v>
      </c>
      <c r="AS948" s="26" t="s">
        <v>404</v>
      </c>
      <c r="BB948" s="26">
        <v>3979</v>
      </c>
      <c r="BC948" s="26">
        <v>2663</v>
      </c>
      <c r="BK948" s="26">
        <f t="shared" ref="BK948:BK949" si="234">(56+19)/2</f>
        <v>37.5</v>
      </c>
      <c r="BL948" s="26">
        <f>(31+7)/2</f>
        <v>19</v>
      </c>
      <c r="BM948" s="26" t="s">
        <v>817</v>
      </c>
      <c r="DJ948" s="26">
        <v>245</v>
      </c>
      <c r="DK948" s="26">
        <v>188</v>
      </c>
      <c r="DL948" s="26" t="s">
        <v>801</v>
      </c>
      <c r="FA948" s="26" t="s">
        <v>873</v>
      </c>
      <c r="FC948" s="26">
        <v>45</v>
      </c>
    </row>
    <row r="949" spans="1:159" s="26" customFormat="1" x14ac:dyDescent="0.25">
      <c r="A949" s="26">
        <v>45</v>
      </c>
      <c r="B949" s="26" t="s">
        <v>797</v>
      </c>
      <c r="C949" s="26" t="s">
        <v>798</v>
      </c>
      <c r="D949" s="26">
        <v>2005</v>
      </c>
      <c r="E949" s="26">
        <v>1994</v>
      </c>
      <c r="F949" s="26" t="s">
        <v>363</v>
      </c>
      <c r="G949" s="26" t="s">
        <v>644</v>
      </c>
      <c r="H949" s="26">
        <v>40.19</v>
      </c>
      <c r="I949" s="26">
        <v>-103.17</v>
      </c>
      <c r="J949" s="26">
        <v>1384</v>
      </c>
      <c r="P949" s="52" t="s">
        <v>179</v>
      </c>
      <c r="Q949" s="52"/>
      <c r="R949" s="52"/>
      <c r="S949" s="52" t="s">
        <v>1647</v>
      </c>
      <c r="T949" s="52" t="s">
        <v>1647</v>
      </c>
      <c r="X949" s="26" t="s">
        <v>168</v>
      </c>
      <c r="AB949" s="26" t="s">
        <v>1576</v>
      </c>
      <c r="AC949" s="26" t="s">
        <v>682</v>
      </c>
      <c r="AD949" s="153" t="str">
        <f t="shared" si="228"/>
        <v>Lentil</v>
      </c>
      <c r="AE949" s="26" t="s">
        <v>150</v>
      </c>
      <c r="AJ949" s="26" t="s">
        <v>799</v>
      </c>
      <c r="AK949" s="26" t="s">
        <v>799</v>
      </c>
      <c r="AL949" s="26" t="s">
        <v>230</v>
      </c>
      <c r="AM949" s="26" t="s">
        <v>800</v>
      </c>
      <c r="AN949" s="26" t="s">
        <v>800</v>
      </c>
      <c r="AO949" s="26" t="s">
        <v>230</v>
      </c>
      <c r="AP949" s="26" t="s">
        <v>154</v>
      </c>
      <c r="AQ949" s="26">
        <v>4</v>
      </c>
      <c r="AR949" s="26">
        <v>4</v>
      </c>
      <c r="AS949" s="26" t="s">
        <v>404</v>
      </c>
      <c r="BB949" s="26">
        <v>3979</v>
      </c>
      <c r="BC949" s="26">
        <v>2632</v>
      </c>
      <c r="BK949" s="26">
        <f t="shared" si="234"/>
        <v>37.5</v>
      </c>
      <c r="BL949" s="26">
        <f>(35+6)/2</f>
        <v>20.5</v>
      </c>
      <c r="BM949" s="26" t="s">
        <v>817</v>
      </c>
      <c r="DJ949" s="26">
        <v>245</v>
      </c>
      <c r="DK949" s="26">
        <v>172</v>
      </c>
      <c r="DL949" s="26" t="s">
        <v>801</v>
      </c>
      <c r="FA949" s="26" t="s">
        <v>873</v>
      </c>
      <c r="FC949" s="26">
        <v>45</v>
      </c>
    </row>
    <row r="950" spans="1:159" s="26" customFormat="1" x14ac:dyDescent="0.25">
      <c r="A950" s="26">
        <v>45</v>
      </c>
      <c r="B950" s="26" t="s">
        <v>797</v>
      </c>
      <c r="C950" s="26" t="s">
        <v>798</v>
      </c>
      <c r="D950" s="26">
        <v>2005</v>
      </c>
      <c r="E950" s="26">
        <v>1994</v>
      </c>
      <c r="F950" s="26" t="s">
        <v>363</v>
      </c>
      <c r="G950" s="26" t="s">
        <v>644</v>
      </c>
      <c r="H950" s="26">
        <v>40.19</v>
      </c>
      <c r="I950" s="26">
        <v>-103.17</v>
      </c>
      <c r="J950" s="26">
        <v>1384</v>
      </c>
      <c r="P950" s="52" t="s">
        <v>179</v>
      </c>
      <c r="Q950" s="52"/>
      <c r="R950" s="52"/>
      <c r="S950" s="52" t="s">
        <v>1647</v>
      </c>
      <c r="T950" s="52" t="s">
        <v>1647</v>
      </c>
      <c r="X950" s="26" t="s">
        <v>168</v>
      </c>
      <c r="AB950" s="26" t="s">
        <v>1576</v>
      </c>
      <c r="AC950" s="26" t="s">
        <v>301</v>
      </c>
      <c r="AD950" s="153" t="str">
        <f t="shared" si="228"/>
        <v>Vetch</v>
      </c>
      <c r="AE950" s="26" t="s">
        <v>150</v>
      </c>
      <c r="AJ950" s="26" t="s">
        <v>799</v>
      </c>
      <c r="AK950" s="26" t="s">
        <v>799</v>
      </c>
      <c r="AL950" s="26" t="s">
        <v>230</v>
      </c>
      <c r="AM950" s="26" t="s">
        <v>800</v>
      </c>
      <c r="AN950" s="26" t="s">
        <v>800</v>
      </c>
      <c r="AO950" s="26" t="s">
        <v>230</v>
      </c>
      <c r="AP950" s="26" t="s">
        <v>154</v>
      </c>
      <c r="AQ950" s="26">
        <v>4</v>
      </c>
      <c r="AR950" s="26">
        <v>4</v>
      </c>
      <c r="AS950" s="26" t="s">
        <v>404</v>
      </c>
      <c r="FA950" s="26" t="s">
        <v>873</v>
      </c>
      <c r="FC950" s="26">
        <v>45</v>
      </c>
    </row>
    <row r="951" spans="1:159" s="35" customFormat="1" x14ac:dyDescent="0.25">
      <c r="A951" s="35">
        <v>45</v>
      </c>
      <c r="B951" s="35" t="s">
        <v>797</v>
      </c>
      <c r="C951" s="35" t="s">
        <v>798</v>
      </c>
      <c r="D951" s="35">
        <v>2005</v>
      </c>
      <c r="E951" s="35">
        <v>1995</v>
      </c>
      <c r="F951" s="35" t="s">
        <v>363</v>
      </c>
      <c r="G951" s="35" t="s">
        <v>644</v>
      </c>
      <c r="H951" s="35">
        <v>40.19</v>
      </c>
      <c r="I951" s="35">
        <v>-103.17</v>
      </c>
      <c r="J951" s="35">
        <v>1384</v>
      </c>
      <c r="P951" s="54" t="s">
        <v>180</v>
      </c>
      <c r="Q951" s="54"/>
      <c r="R951" s="54"/>
      <c r="S951" s="54" t="s">
        <v>1647</v>
      </c>
      <c r="T951" s="54" t="s">
        <v>1647</v>
      </c>
      <c r="X951" s="35" t="s">
        <v>168</v>
      </c>
      <c r="AB951" s="35" t="s">
        <v>1576</v>
      </c>
      <c r="AC951" s="35" t="s">
        <v>1821</v>
      </c>
      <c r="AD951" s="153" t="str">
        <f t="shared" si="228"/>
        <v>Austrian_winter_pea</v>
      </c>
      <c r="AE951" s="35" t="s">
        <v>150</v>
      </c>
      <c r="AJ951" s="35" t="s">
        <v>799</v>
      </c>
      <c r="AK951" s="35" t="s">
        <v>799</v>
      </c>
      <c r="AL951" s="35" t="s">
        <v>230</v>
      </c>
      <c r="AM951" s="35" t="s">
        <v>800</v>
      </c>
      <c r="AN951" s="35" t="s">
        <v>800</v>
      </c>
      <c r="AO951" s="35" t="s">
        <v>230</v>
      </c>
      <c r="AP951" s="35" t="s">
        <v>154</v>
      </c>
      <c r="AQ951" s="35">
        <v>4</v>
      </c>
      <c r="AR951" s="35">
        <v>4</v>
      </c>
      <c r="AS951" s="35" t="s">
        <v>404</v>
      </c>
      <c r="BB951" s="35">
        <v>6032</v>
      </c>
      <c r="BC951" s="35">
        <v>3721</v>
      </c>
      <c r="BK951" s="35">
        <f>(23+5)/2</f>
        <v>14</v>
      </c>
      <c r="BL951" s="35">
        <f>(3+5)/2</f>
        <v>4</v>
      </c>
      <c r="BM951" s="35" t="s">
        <v>817</v>
      </c>
      <c r="DJ951" s="35">
        <v>293</v>
      </c>
      <c r="DK951" s="35">
        <v>202</v>
      </c>
      <c r="DL951" s="35" t="s">
        <v>801</v>
      </c>
      <c r="FA951" s="35" t="s">
        <v>873</v>
      </c>
      <c r="FC951" s="35">
        <v>45</v>
      </c>
    </row>
    <row r="952" spans="1:159" s="35" customFormat="1" x14ac:dyDescent="0.25">
      <c r="A952" s="35">
        <v>45</v>
      </c>
      <c r="B952" s="35" t="s">
        <v>797</v>
      </c>
      <c r="C952" s="35" t="s">
        <v>798</v>
      </c>
      <c r="D952" s="35">
        <v>2005</v>
      </c>
      <c r="E952" s="35">
        <v>1995</v>
      </c>
      <c r="F952" s="35" t="s">
        <v>363</v>
      </c>
      <c r="G952" s="35" t="s">
        <v>644</v>
      </c>
      <c r="H952" s="35">
        <v>40.19</v>
      </c>
      <c r="I952" s="35">
        <v>-103.17</v>
      </c>
      <c r="J952" s="35">
        <v>1384</v>
      </c>
      <c r="P952" s="54" t="s">
        <v>180</v>
      </c>
      <c r="Q952" s="54"/>
      <c r="R952" s="54"/>
      <c r="S952" s="54" t="s">
        <v>1647</v>
      </c>
      <c r="T952" s="54" t="s">
        <v>1647</v>
      </c>
      <c r="X952" s="35" t="s">
        <v>168</v>
      </c>
      <c r="AB952" s="35" t="s">
        <v>1576</v>
      </c>
      <c r="AC952" s="35" t="s">
        <v>1822</v>
      </c>
      <c r="AD952" s="153" t="str">
        <f t="shared" si="228"/>
        <v>Field_pea</v>
      </c>
      <c r="AE952" s="35" t="s">
        <v>150</v>
      </c>
      <c r="AJ952" s="35" t="s">
        <v>799</v>
      </c>
      <c r="AK952" s="35" t="s">
        <v>799</v>
      </c>
      <c r="AL952" s="35" t="s">
        <v>230</v>
      </c>
      <c r="AM952" s="35" t="s">
        <v>800</v>
      </c>
      <c r="AN952" s="35" t="s">
        <v>800</v>
      </c>
      <c r="AO952" s="35" t="s">
        <v>230</v>
      </c>
      <c r="AP952" s="35" t="s">
        <v>154</v>
      </c>
      <c r="AQ952" s="35">
        <v>4</v>
      </c>
      <c r="AR952" s="35">
        <v>4</v>
      </c>
      <c r="AS952" s="35" t="s">
        <v>404</v>
      </c>
      <c r="BB952" s="35">
        <v>6032</v>
      </c>
      <c r="BC952" s="35">
        <v>4082</v>
      </c>
      <c r="BK952" s="35">
        <f t="shared" ref="BK952:BK953" si="235">(23+5)/2</f>
        <v>14</v>
      </c>
      <c r="BL952" s="35">
        <f>(4+5)/2</f>
        <v>4.5</v>
      </c>
      <c r="BM952" s="35" t="s">
        <v>817</v>
      </c>
      <c r="DJ952" s="35">
        <v>293</v>
      </c>
      <c r="DK952" s="35">
        <v>202</v>
      </c>
      <c r="DL952" s="35" t="s">
        <v>801</v>
      </c>
      <c r="FA952" s="35" t="s">
        <v>873</v>
      </c>
      <c r="FC952" s="35">
        <v>45</v>
      </c>
    </row>
    <row r="953" spans="1:159" s="35" customFormat="1" x14ac:dyDescent="0.25">
      <c r="A953" s="35">
        <v>45</v>
      </c>
      <c r="B953" s="35" t="s">
        <v>797</v>
      </c>
      <c r="C953" s="35" t="s">
        <v>798</v>
      </c>
      <c r="D953" s="35">
        <v>2005</v>
      </c>
      <c r="E953" s="35">
        <v>1995</v>
      </c>
      <c r="F953" s="35" t="s">
        <v>363</v>
      </c>
      <c r="G953" s="35" t="s">
        <v>644</v>
      </c>
      <c r="H953" s="35">
        <v>40.19</v>
      </c>
      <c r="I953" s="35">
        <v>-103.17</v>
      </c>
      <c r="J953" s="35">
        <v>1384</v>
      </c>
      <c r="P953" s="54" t="s">
        <v>180</v>
      </c>
      <c r="Q953" s="54"/>
      <c r="R953" s="54"/>
      <c r="S953" s="54" t="s">
        <v>1647</v>
      </c>
      <c r="T953" s="54" t="s">
        <v>1647</v>
      </c>
      <c r="X953" s="35" t="s">
        <v>168</v>
      </c>
      <c r="AB953" s="35" t="s">
        <v>1576</v>
      </c>
      <c r="AC953" s="35" t="s">
        <v>682</v>
      </c>
      <c r="AD953" s="153" t="str">
        <f t="shared" si="228"/>
        <v>Lentil</v>
      </c>
      <c r="AE953" s="35" t="s">
        <v>150</v>
      </c>
      <c r="AJ953" s="35" t="s">
        <v>799</v>
      </c>
      <c r="AK953" s="35" t="s">
        <v>799</v>
      </c>
      <c r="AL953" s="35" t="s">
        <v>230</v>
      </c>
      <c r="AM953" s="35" t="s">
        <v>800</v>
      </c>
      <c r="AN953" s="35" t="s">
        <v>800</v>
      </c>
      <c r="AO953" s="35" t="s">
        <v>230</v>
      </c>
      <c r="AP953" s="35" t="s">
        <v>154</v>
      </c>
      <c r="AQ953" s="35">
        <v>4</v>
      </c>
      <c r="AR953" s="35">
        <v>4</v>
      </c>
      <c r="AS953" s="35" t="s">
        <v>404</v>
      </c>
      <c r="BB953" s="35">
        <v>6032</v>
      </c>
      <c r="BC953" s="35">
        <v>2632</v>
      </c>
      <c r="BK953" s="35">
        <f t="shared" si="235"/>
        <v>14</v>
      </c>
      <c r="BL953" s="35">
        <f>(2+5)/2</f>
        <v>3.5</v>
      </c>
      <c r="BM953" s="35" t="s">
        <v>817</v>
      </c>
      <c r="DJ953" s="35">
        <v>293</v>
      </c>
      <c r="DK953" s="35">
        <v>205</v>
      </c>
      <c r="DL953" s="35" t="s">
        <v>801</v>
      </c>
      <c r="FA953" s="35" t="s">
        <v>873</v>
      </c>
      <c r="FC953" s="35">
        <v>45</v>
      </c>
    </row>
    <row r="954" spans="1:159" s="35" customFormat="1" x14ac:dyDescent="0.25">
      <c r="A954" s="35">
        <v>45</v>
      </c>
      <c r="B954" s="35" t="s">
        <v>797</v>
      </c>
      <c r="C954" s="35" t="s">
        <v>798</v>
      </c>
      <c r="D954" s="35">
        <v>2005</v>
      </c>
      <c r="E954" s="35">
        <v>1995</v>
      </c>
      <c r="F954" s="35" t="s">
        <v>363</v>
      </c>
      <c r="G954" s="35" t="s">
        <v>644</v>
      </c>
      <c r="H954" s="35">
        <v>40.19</v>
      </c>
      <c r="I954" s="35">
        <v>-103.17</v>
      </c>
      <c r="J954" s="35">
        <v>1384</v>
      </c>
      <c r="P954" s="54" t="s">
        <v>180</v>
      </c>
      <c r="Q954" s="54"/>
      <c r="R954" s="54"/>
      <c r="S954" s="54" t="s">
        <v>1647</v>
      </c>
      <c r="T954" s="54" t="s">
        <v>1647</v>
      </c>
      <c r="X954" s="35" t="s">
        <v>168</v>
      </c>
      <c r="AB954" s="35" t="s">
        <v>1576</v>
      </c>
      <c r="AC954" s="35" t="s">
        <v>301</v>
      </c>
      <c r="AD954" s="153" t="str">
        <f t="shared" si="228"/>
        <v>Vetch</v>
      </c>
      <c r="AE954" s="35" t="s">
        <v>150</v>
      </c>
      <c r="AJ954" s="35" t="s">
        <v>799</v>
      </c>
      <c r="AK954" s="35" t="s">
        <v>799</v>
      </c>
      <c r="AL954" s="35" t="s">
        <v>230</v>
      </c>
      <c r="AM954" s="35" t="s">
        <v>800</v>
      </c>
      <c r="AN954" s="35" t="s">
        <v>800</v>
      </c>
      <c r="AO954" s="35" t="s">
        <v>230</v>
      </c>
      <c r="AP954" s="35" t="s">
        <v>154</v>
      </c>
      <c r="AQ954" s="35">
        <v>4</v>
      </c>
      <c r="AR954" s="35">
        <v>4</v>
      </c>
      <c r="AS954" s="35" t="s">
        <v>404</v>
      </c>
      <c r="FA954" s="35" t="s">
        <v>873</v>
      </c>
      <c r="FC954" s="35">
        <v>45</v>
      </c>
    </row>
    <row r="955" spans="1:159" s="26" customFormat="1" x14ac:dyDescent="0.25">
      <c r="A955" s="26">
        <v>45</v>
      </c>
      <c r="B955" s="26" t="s">
        <v>797</v>
      </c>
      <c r="C955" s="26" t="s">
        <v>798</v>
      </c>
      <c r="D955" s="26">
        <v>2005</v>
      </c>
      <c r="E955" s="26">
        <v>1996</v>
      </c>
      <c r="F955" s="26" t="s">
        <v>363</v>
      </c>
      <c r="G955" s="26" t="s">
        <v>644</v>
      </c>
      <c r="H955" s="26">
        <v>40.19</v>
      </c>
      <c r="I955" s="26">
        <v>-103.17</v>
      </c>
      <c r="J955" s="26">
        <v>1384</v>
      </c>
      <c r="P955" s="52" t="s">
        <v>181</v>
      </c>
      <c r="Q955" s="52"/>
      <c r="R955" s="52"/>
      <c r="S955" s="52" t="s">
        <v>1647</v>
      </c>
      <c r="T955" s="52" t="s">
        <v>1647</v>
      </c>
      <c r="X955" s="26" t="s">
        <v>168</v>
      </c>
      <c r="AB955" s="26" t="s">
        <v>1576</v>
      </c>
      <c r="AC955" s="26" t="s">
        <v>1821</v>
      </c>
      <c r="AD955" s="153" t="str">
        <f t="shared" si="228"/>
        <v>Austrian_winter_pea</v>
      </c>
      <c r="AE955" s="26" t="s">
        <v>150</v>
      </c>
      <c r="AJ955" s="26" t="s">
        <v>799</v>
      </c>
      <c r="AK955" s="26" t="s">
        <v>799</v>
      </c>
      <c r="AL955" s="26" t="s">
        <v>230</v>
      </c>
      <c r="AM955" s="26" t="s">
        <v>800</v>
      </c>
      <c r="AN955" s="26" t="s">
        <v>800</v>
      </c>
      <c r="AO955" s="26" t="s">
        <v>230</v>
      </c>
      <c r="AP955" s="26" t="s">
        <v>154</v>
      </c>
      <c r="AQ955" s="26">
        <v>4</v>
      </c>
      <c r="AR955" s="26">
        <v>4</v>
      </c>
      <c r="AS955" s="26" t="s">
        <v>404</v>
      </c>
      <c r="BB955" s="26">
        <v>4149</v>
      </c>
      <c r="BC955" s="26">
        <v>2948</v>
      </c>
      <c r="BK955" s="26">
        <f>(60+14)/2</f>
        <v>37</v>
      </c>
      <c r="BL955" s="26">
        <f>(51+11)/2</f>
        <v>31</v>
      </c>
      <c r="BM955" s="26" t="s">
        <v>817</v>
      </c>
      <c r="DJ955" s="26">
        <v>349</v>
      </c>
      <c r="DK955" s="26">
        <v>239</v>
      </c>
      <c r="DL955" s="26" t="s">
        <v>801</v>
      </c>
      <c r="FA955" s="26" t="s">
        <v>873</v>
      </c>
      <c r="FC955" s="26">
        <v>45</v>
      </c>
    </row>
    <row r="956" spans="1:159" s="26" customFormat="1" x14ac:dyDescent="0.25">
      <c r="A956" s="26">
        <v>45</v>
      </c>
      <c r="B956" s="26" t="s">
        <v>797</v>
      </c>
      <c r="C956" s="26" t="s">
        <v>798</v>
      </c>
      <c r="D956" s="26">
        <v>2005</v>
      </c>
      <c r="E956" s="26">
        <v>1996</v>
      </c>
      <c r="F956" s="26" t="s">
        <v>363</v>
      </c>
      <c r="G956" s="26" t="s">
        <v>644</v>
      </c>
      <c r="H956" s="26">
        <v>40.19</v>
      </c>
      <c r="I956" s="26">
        <v>-103.17</v>
      </c>
      <c r="J956" s="26">
        <v>1384</v>
      </c>
      <c r="P956" s="52" t="s">
        <v>181</v>
      </c>
      <c r="Q956" s="52"/>
      <c r="R956" s="52"/>
      <c r="S956" s="52" t="s">
        <v>1647</v>
      </c>
      <c r="T956" s="52" t="s">
        <v>1647</v>
      </c>
      <c r="X956" s="26" t="s">
        <v>168</v>
      </c>
      <c r="AB956" s="26" t="s">
        <v>1576</v>
      </c>
      <c r="AC956" s="26" t="s">
        <v>1822</v>
      </c>
      <c r="AD956" s="153" t="str">
        <f t="shared" si="228"/>
        <v>Field_pea</v>
      </c>
      <c r="AE956" s="26" t="s">
        <v>150</v>
      </c>
      <c r="AJ956" s="26" t="s">
        <v>799</v>
      </c>
      <c r="AK956" s="26" t="s">
        <v>799</v>
      </c>
      <c r="AL956" s="26" t="s">
        <v>230</v>
      </c>
      <c r="AM956" s="26" t="s">
        <v>800</v>
      </c>
      <c r="AN956" s="26" t="s">
        <v>800</v>
      </c>
      <c r="AO956" s="26" t="s">
        <v>230</v>
      </c>
      <c r="AP956" s="26" t="s">
        <v>154</v>
      </c>
      <c r="AQ956" s="26">
        <v>4</v>
      </c>
      <c r="AR956" s="26">
        <v>4</v>
      </c>
      <c r="AS956" s="26" t="s">
        <v>404</v>
      </c>
      <c r="BB956" s="26">
        <v>4149</v>
      </c>
      <c r="BC956" s="26">
        <v>3164</v>
      </c>
      <c r="BK956" s="26">
        <f t="shared" ref="BK956:BK957" si="236">(60+14)/2</f>
        <v>37</v>
      </c>
      <c r="BL956" s="26">
        <f>(43+11)/2</f>
        <v>27</v>
      </c>
      <c r="BM956" s="26" t="s">
        <v>817</v>
      </c>
      <c r="DJ956" s="26">
        <v>349</v>
      </c>
      <c r="DK956" s="26">
        <v>261</v>
      </c>
      <c r="DL956" s="26" t="s">
        <v>801</v>
      </c>
      <c r="FA956" s="26" t="s">
        <v>873</v>
      </c>
      <c r="FC956" s="26">
        <v>45</v>
      </c>
    </row>
    <row r="957" spans="1:159" s="26" customFormat="1" x14ac:dyDescent="0.25">
      <c r="A957" s="26">
        <v>45</v>
      </c>
      <c r="B957" s="26" t="s">
        <v>797</v>
      </c>
      <c r="C957" s="26" t="s">
        <v>798</v>
      </c>
      <c r="D957" s="26">
        <v>2005</v>
      </c>
      <c r="E957" s="26">
        <v>1996</v>
      </c>
      <c r="F957" s="26" t="s">
        <v>363</v>
      </c>
      <c r="G957" s="26" t="s">
        <v>644</v>
      </c>
      <c r="H957" s="26">
        <v>40.19</v>
      </c>
      <c r="I957" s="26">
        <v>-103.17</v>
      </c>
      <c r="J957" s="26">
        <v>1384</v>
      </c>
      <c r="P957" s="52" t="s">
        <v>181</v>
      </c>
      <c r="Q957" s="52"/>
      <c r="R957" s="52"/>
      <c r="S957" s="52" t="s">
        <v>1647</v>
      </c>
      <c r="T957" s="52" t="s">
        <v>1647</v>
      </c>
      <c r="X957" s="26" t="s">
        <v>168</v>
      </c>
      <c r="AB957" s="26" t="s">
        <v>1576</v>
      </c>
      <c r="AC957" s="26" t="s">
        <v>682</v>
      </c>
      <c r="AD957" s="153" t="str">
        <f t="shared" si="228"/>
        <v>Lentil</v>
      </c>
      <c r="AE957" s="26" t="s">
        <v>150</v>
      </c>
      <c r="AJ957" s="26" t="s">
        <v>799</v>
      </c>
      <c r="AK957" s="26" t="s">
        <v>799</v>
      </c>
      <c r="AL957" s="26" t="s">
        <v>230</v>
      </c>
      <c r="AM957" s="26" t="s">
        <v>800</v>
      </c>
      <c r="AN957" s="26" t="s">
        <v>800</v>
      </c>
      <c r="AO957" s="26" t="s">
        <v>230</v>
      </c>
      <c r="AP957" s="26" t="s">
        <v>154</v>
      </c>
      <c r="AQ957" s="26">
        <v>4</v>
      </c>
      <c r="AR957" s="26">
        <v>4</v>
      </c>
      <c r="AS957" s="26" t="s">
        <v>404</v>
      </c>
      <c r="BB957" s="26">
        <v>4149</v>
      </c>
      <c r="BC957" s="26">
        <v>2749</v>
      </c>
      <c r="BK957" s="26">
        <f t="shared" si="236"/>
        <v>37</v>
      </c>
      <c r="BL957" s="26">
        <f>(42+10)/2</f>
        <v>26</v>
      </c>
      <c r="BM957" s="26" t="s">
        <v>817</v>
      </c>
      <c r="DJ957" s="26">
        <v>349</v>
      </c>
      <c r="DK957" s="26">
        <v>251</v>
      </c>
      <c r="DL957" s="26" t="s">
        <v>801</v>
      </c>
      <c r="FA957" s="26" t="s">
        <v>873</v>
      </c>
      <c r="FC957" s="26">
        <v>45</v>
      </c>
    </row>
    <row r="958" spans="1:159" s="26" customFormat="1" x14ac:dyDescent="0.25">
      <c r="A958" s="26">
        <v>45</v>
      </c>
      <c r="B958" s="26" t="s">
        <v>797</v>
      </c>
      <c r="C958" s="26" t="s">
        <v>798</v>
      </c>
      <c r="D958" s="26">
        <v>2005</v>
      </c>
      <c r="E958" s="26">
        <v>1996</v>
      </c>
      <c r="F958" s="26" t="s">
        <v>363</v>
      </c>
      <c r="G958" s="26" t="s">
        <v>644</v>
      </c>
      <c r="H958" s="26">
        <v>40.19</v>
      </c>
      <c r="I958" s="26">
        <v>-103.17</v>
      </c>
      <c r="J958" s="26">
        <v>1384</v>
      </c>
      <c r="P958" s="52" t="s">
        <v>181</v>
      </c>
      <c r="Q958" s="52"/>
      <c r="R958" s="52"/>
      <c r="S958" s="52" t="s">
        <v>1647</v>
      </c>
      <c r="T958" s="52" t="s">
        <v>1647</v>
      </c>
      <c r="X958" s="26" t="s">
        <v>168</v>
      </c>
      <c r="AB958" s="26" t="s">
        <v>1576</v>
      </c>
      <c r="AC958" s="26" t="s">
        <v>301</v>
      </c>
      <c r="AD958" s="153" t="str">
        <f t="shared" si="228"/>
        <v>Vetch</v>
      </c>
      <c r="AE958" s="26" t="s">
        <v>150</v>
      </c>
      <c r="AJ958" s="26" t="s">
        <v>799</v>
      </c>
      <c r="AK958" s="26" t="s">
        <v>799</v>
      </c>
      <c r="AL958" s="26" t="s">
        <v>230</v>
      </c>
      <c r="AM958" s="26" t="s">
        <v>800</v>
      </c>
      <c r="AN958" s="26" t="s">
        <v>800</v>
      </c>
      <c r="AO958" s="26" t="s">
        <v>230</v>
      </c>
      <c r="AP958" s="26" t="s">
        <v>154</v>
      </c>
      <c r="AQ958" s="26">
        <v>4</v>
      </c>
      <c r="AR958" s="26">
        <v>4</v>
      </c>
      <c r="AS958" s="26" t="s">
        <v>404</v>
      </c>
      <c r="FA958" s="26" t="s">
        <v>873</v>
      </c>
      <c r="FC958" s="26">
        <v>45</v>
      </c>
    </row>
    <row r="959" spans="1:159" s="35" customFormat="1" x14ac:dyDescent="0.25">
      <c r="A959" s="35">
        <v>45</v>
      </c>
      <c r="B959" s="35" t="s">
        <v>797</v>
      </c>
      <c r="C959" s="35" t="s">
        <v>798</v>
      </c>
      <c r="D959" s="35">
        <v>2005</v>
      </c>
      <c r="E959" s="35">
        <v>1997</v>
      </c>
      <c r="F959" s="35" t="s">
        <v>363</v>
      </c>
      <c r="G959" s="35" t="s">
        <v>644</v>
      </c>
      <c r="H959" s="35">
        <v>40.19</v>
      </c>
      <c r="I959" s="35">
        <v>-103.17</v>
      </c>
      <c r="J959" s="35">
        <v>1384</v>
      </c>
      <c r="P959" s="54" t="s">
        <v>182</v>
      </c>
      <c r="Q959" s="54"/>
      <c r="R959" s="54"/>
      <c r="S959" s="54" t="s">
        <v>1647</v>
      </c>
      <c r="T959" s="54" t="s">
        <v>1647</v>
      </c>
      <c r="X959" s="35" t="s">
        <v>168</v>
      </c>
      <c r="AB959" s="35" t="s">
        <v>1576</v>
      </c>
      <c r="AC959" s="35" t="s">
        <v>1821</v>
      </c>
      <c r="AD959" s="153" t="str">
        <f t="shared" si="228"/>
        <v>Austrian_winter_pea</v>
      </c>
      <c r="AE959" s="35" t="s">
        <v>150</v>
      </c>
      <c r="AJ959" s="35" t="s">
        <v>799</v>
      </c>
      <c r="AK959" s="35" t="s">
        <v>799</v>
      </c>
      <c r="AL959" s="35" t="s">
        <v>230</v>
      </c>
      <c r="AM959" s="35" t="s">
        <v>800</v>
      </c>
      <c r="AN959" s="35" t="s">
        <v>800</v>
      </c>
      <c r="AO959" s="35" t="s">
        <v>230</v>
      </c>
      <c r="AP959" s="35" t="s">
        <v>154</v>
      </c>
      <c r="AQ959" s="35">
        <v>4</v>
      </c>
      <c r="AR959" s="35">
        <v>4</v>
      </c>
      <c r="AS959" s="35" t="s">
        <v>404</v>
      </c>
      <c r="BB959" s="35">
        <v>2453</v>
      </c>
      <c r="BC959" s="35">
        <v>1917</v>
      </c>
      <c r="BK959" s="35">
        <f>(64+19)/2</f>
        <v>41.5</v>
      </c>
      <c r="BL959" s="35">
        <f>(64+9)/2</f>
        <v>36.5</v>
      </c>
      <c r="BM959" s="35" t="s">
        <v>817</v>
      </c>
      <c r="DJ959" s="35">
        <v>288</v>
      </c>
      <c r="DK959" s="35">
        <v>219</v>
      </c>
      <c r="DL959" s="35" t="s">
        <v>801</v>
      </c>
      <c r="FA959" s="35" t="s">
        <v>873</v>
      </c>
      <c r="FC959" s="35">
        <v>45</v>
      </c>
    </row>
    <row r="960" spans="1:159" s="35" customFormat="1" x14ac:dyDescent="0.25">
      <c r="A960" s="35">
        <v>45</v>
      </c>
      <c r="B960" s="35" t="s">
        <v>797</v>
      </c>
      <c r="C960" s="35" t="s">
        <v>798</v>
      </c>
      <c r="D960" s="35">
        <v>2005</v>
      </c>
      <c r="E960" s="35">
        <v>1997</v>
      </c>
      <c r="F960" s="35" t="s">
        <v>363</v>
      </c>
      <c r="G960" s="35" t="s">
        <v>644</v>
      </c>
      <c r="H960" s="35">
        <v>40.19</v>
      </c>
      <c r="I960" s="35">
        <v>-103.17</v>
      </c>
      <c r="J960" s="35">
        <v>1384</v>
      </c>
      <c r="P960" s="54" t="s">
        <v>182</v>
      </c>
      <c r="Q960" s="54"/>
      <c r="R960" s="54"/>
      <c r="S960" s="54" t="s">
        <v>1647</v>
      </c>
      <c r="T960" s="54" t="s">
        <v>1647</v>
      </c>
      <c r="X960" s="35" t="s">
        <v>168</v>
      </c>
      <c r="AB960" s="35" t="s">
        <v>1576</v>
      </c>
      <c r="AC960" s="35" t="s">
        <v>1822</v>
      </c>
      <c r="AD960" s="153" t="str">
        <f t="shared" si="228"/>
        <v>Field_pea</v>
      </c>
      <c r="AE960" s="35" t="s">
        <v>150</v>
      </c>
      <c r="AJ960" s="35" t="s">
        <v>799</v>
      </c>
      <c r="AK960" s="35" t="s">
        <v>799</v>
      </c>
      <c r="AL960" s="35" t="s">
        <v>230</v>
      </c>
      <c r="AM960" s="35" t="s">
        <v>800</v>
      </c>
      <c r="AN960" s="35" t="s">
        <v>800</v>
      </c>
      <c r="AO960" s="35" t="s">
        <v>230</v>
      </c>
      <c r="AP960" s="35" t="s">
        <v>154</v>
      </c>
      <c r="AQ960" s="35">
        <v>4</v>
      </c>
      <c r="AR960" s="35">
        <v>4</v>
      </c>
      <c r="AS960" s="35" t="s">
        <v>404</v>
      </c>
      <c r="BB960" s="35">
        <v>2453</v>
      </c>
      <c r="BC960" s="35">
        <v>2024</v>
      </c>
      <c r="BK960" s="35">
        <f t="shared" ref="BK960:BK962" si="237">(64+19)/2</f>
        <v>41.5</v>
      </c>
      <c r="BL960" s="35">
        <f>(45+9)/2</f>
        <v>27</v>
      </c>
      <c r="BM960" s="35" t="s">
        <v>817</v>
      </c>
      <c r="DJ960" s="35">
        <v>288</v>
      </c>
      <c r="DK960" s="35">
        <v>207</v>
      </c>
      <c r="DL960" s="35" t="s">
        <v>801</v>
      </c>
      <c r="FA960" s="35" t="s">
        <v>873</v>
      </c>
      <c r="FC960" s="35">
        <v>45</v>
      </c>
    </row>
    <row r="961" spans="1:159" s="35" customFormat="1" x14ac:dyDescent="0.25">
      <c r="A961" s="35">
        <v>45</v>
      </c>
      <c r="B961" s="35" t="s">
        <v>797</v>
      </c>
      <c r="C961" s="35" t="s">
        <v>798</v>
      </c>
      <c r="D961" s="35">
        <v>2005</v>
      </c>
      <c r="E961" s="35">
        <v>1997</v>
      </c>
      <c r="F961" s="35" t="s">
        <v>363</v>
      </c>
      <c r="G961" s="35" t="s">
        <v>644</v>
      </c>
      <c r="H961" s="35">
        <v>40.19</v>
      </c>
      <c r="I961" s="35">
        <v>-103.17</v>
      </c>
      <c r="J961" s="35">
        <v>1384</v>
      </c>
      <c r="P961" s="54" t="s">
        <v>182</v>
      </c>
      <c r="Q961" s="54"/>
      <c r="R961" s="54"/>
      <c r="S961" s="54" t="s">
        <v>1647</v>
      </c>
      <c r="T961" s="54" t="s">
        <v>1647</v>
      </c>
      <c r="X961" s="35" t="s">
        <v>168</v>
      </c>
      <c r="AB961" s="35" t="s">
        <v>1576</v>
      </c>
      <c r="AC961" s="35" t="s">
        <v>682</v>
      </c>
      <c r="AD961" s="153" t="str">
        <f t="shared" si="228"/>
        <v>Lentil</v>
      </c>
      <c r="AE961" s="35" t="s">
        <v>150</v>
      </c>
      <c r="AJ961" s="35" t="s">
        <v>799</v>
      </c>
      <c r="AK961" s="35" t="s">
        <v>799</v>
      </c>
      <c r="AL961" s="35" t="s">
        <v>230</v>
      </c>
      <c r="AM961" s="35" t="s">
        <v>800</v>
      </c>
      <c r="AN961" s="35" t="s">
        <v>800</v>
      </c>
      <c r="AO961" s="35" t="s">
        <v>230</v>
      </c>
      <c r="AP961" s="35" t="s">
        <v>154</v>
      </c>
      <c r="AQ961" s="35">
        <v>4</v>
      </c>
      <c r="AR961" s="35">
        <v>4</v>
      </c>
      <c r="AS961" s="35" t="s">
        <v>404</v>
      </c>
      <c r="FA961" s="35" t="s">
        <v>873</v>
      </c>
      <c r="FC961" s="35">
        <v>45</v>
      </c>
    </row>
    <row r="962" spans="1:159" s="35" customFormat="1" x14ac:dyDescent="0.25">
      <c r="A962" s="35">
        <v>45</v>
      </c>
      <c r="B962" s="35" t="s">
        <v>797</v>
      </c>
      <c r="C962" s="35" t="s">
        <v>798</v>
      </c>
      <c r="D962" s="35">
        <v>2005</v>
      </c>
      <c r="E962" s="35">
        <v>1997</v>
      </c>
      <c r="F962" s="35" t="s">
        <v>363</v>
      </c>
      <c r="G962" s="35" t="s">
        <v>644</v>
      </c>
      <c r="H962" s="35">
        <v>40.19</v>
      </c>
      <c r="I962" s="35">
        <v>-103.17</v>
      </c>
      <c r="J962" s="35">
        <v>1384</v>
      </c>
      <c r="P962" s="54" t="s">
        <v>182</v>
      </c>
      <c r="Q962" s="54"/>
      <c r="R962" s="54"/>
      <c r="S962" s="54" t="s">
        <v>1647</v>
      </c>
      <c r="T962" s="54" t="s">
        <v>1647</v>
      </c>
      <c r="X962" s="35" t="s">
        <v>168</v>
      </c>
      <c r="AB962" s="35" t="s">
        <v>1576</v>
      </c>
      <c r="AC962" s="35" t="s">
        <v>301</v>
      </c>
      <c r="AD962" s="153" t="str">
        <f t="shared" si="228"/>
        <v>Vetch</v>
      </c>
      <c r="AE962" s="35" t="s">
        <v>150</v>
      </c>
      <c r="AJ962" s="35" t="s">
        <v>799</v>
      </c>
      <c r="AK962" s="35" t="s">
        <v>799</v>
      </c>
      <c r="AL962" s="35" t="s">
        <v>230</v>
      </c>
      <c r="AM962" s="35" t="s">
        <v>800</v>
      </c>
      <c r="AN962" s="35" t="s">
        <v>800</v>
      </c>
      <c r="AO962" s="35" t="s">
        <v>230</v>
      </c>
      <c r="AP962" s="35" t="s">
        <v>154</v>
      </c>
      <c r="AQ962" s="35">
        <v>4</v>
      </c>
      <c r="AR962" s="35">
        <v>4</v>
      </c>
      <c r="AS962" s="35" t="s">
        <v>404</v>
      </c>
      <c r="BB962" s="35">
        <v>2453</v>
      </c>
      <c r="BC962" s="35">
        <v>1857</v>
      </c>
      <c r="BK962" s="35">
        <f t="shared" si="237"/>
        <v>41.5</v>
      </c>
      <c r="BL962" s="35">
        <f>(58+10)/2</f>
        <v>34</v>
      </c>
      <c r="BM962" s="35" t="s">
        <v>817</v>
      </c>
      <c r="DJ962" s="35">
        <v>288</v>
      </c>
      <c r="DK962" s="35">
        <v>205</v>
      </c>
      <c r="DL962" s="35" t="s">
        <v>801</v>
      </c>
      <c r="FA962" s="35" t="s">
        <v>873</v>
      </c>
      <c r="FC962" s="35">
        <v>45</v>
      </c>
    </row>
    <row r="963" spans="1:159" s="26" customFormat="1" x14ac:dyDescent="0.25">
      <c r="A963" s="26">
        <v>45</v>
      </c>
      <c r="B963" s="26" t="s">
        <v>797</v>
      </c>
      <c r="C963" s="26" t="s">
        <v>798</v>
      </c>
      <c r="D963" s="26">
        <v>2005</v>
      </c>
      <c r="E963" s="26">
        <v>1998</v>
      </c>
      <c r="F963" s="26" t="s">
        <v>363</v>
      </c>
      <c r="G963" s="26" t="s">
        <v>644</v>
      </c>
      <c r="H963" s="26">
        <v>40.19</v>
      </c>
      <c r="I963" s="26">
        <v>-103.17</v>
      </c>
      <c r="J963" s="26">
        <v>1384</v>
      </c>
      <c r="P963" s="52" t="s">
        <v>183</v>
      </c>
      <c r="Q963" s="52"/>
      <c r="R963" s="52"/>
      <c r="S963" s="52" t="s">
        <v>1647</v>
      </c>
      <c r="T963" s="52" t="s">
        <v>1647</v>
      </c>
      <c r="X963" s="26" t="s">
        <v>168</v>
      </c>
      <c r="AB963" s="26" t="s">
        <v>1576</v>
      </c>
      <c r="AC963" s="26" t="s">
        <v>1821</v>
      </c>
      <c r="AD963" s="153" t="str">
        <f t="shared" ref="AD963:AD1026" si="238">IF(OR(AC963="*Rye",AC963="Rye*",AC963="Downy_brome"),"Rye",IF(OR(AC963="*Oat",AC963="Oat*",AC963="Trudan_8",AC963="*Wheat",AC963="Wheat*",AC963="Barley*",AC963="Hemp",AC963="Hemp",AC963="Triticale*",AC963="Grass",AC963="Millet"),"Grass",IF(OR(AC963="*clover",AC963="clover*",AC963="Vetch*",AC963="Vetch*",AC963="Alfalfa",AC963="Soybean",AC963="*Lentil",AC963="Lentil*",AC963="*Pea",AC963="Pea*",AC963="Lupine"),"Legume",AC963)))</f>
        <v>Austrian_winter_pea</v>
      </c>
      <c r="AE963" s="26" t="s">
        <v>150</v>
      </c>
      <c r="AJ963" s="26" t="s">
        <v>799</v>
      </c>
      <c r="AK963" s="26" t="s">
        <v>799</v>
      </c>
      <c r="AL963" s="26" t="s">
        <v>230</v>
      </c>
      <c r="AM963" s="26" t="s">
        <v>800</v>
      </c>
      <c r="AN963" s="26" t="s">
        <v>800</v>
      </c>
      <c r="AO963" s="26" t="s">
        <v>230</v>
      </c>
      <c r="AP963" s="26" t="s">
        <v>154</v>
      </c>
      <c r="AQ963" s="26">
        <v>4</v>
      </c>
      <c r="AR963" s="26">
        <v>4</v>
      </c>
      <c r="AS963" s="26" t="s">
        <v>404</v>
      </c>
      <c r="BB963" s="26">
        <v>4470</v>
      </c>
      <c r="BC963" s="26">
        <v>2327</v>
      </c>
      <c r="BK963" s="26">
        <f>(25+10)/2</f>
        <v>17.5</v>
      </c>
      <c r="BL963" s="26">
        <f>(34+10)/2</f>
        <v>22</v>
      </c>
      <c r="BM963" s="26" t="s">
        <v>817</v>
      </c>
      <c r="DJ963" s="26">
        <v>283</v>
      </c>
      <c r="DK963" s="26">
        <v>158</v>
      </c>
      <c r="DL963" s="26" t="s">
        <v>801</v>
      </c>
      <c r="FA963" s="26" t="s">
        <v>873</v>
      </c>
      <c r="FC963" s="26">
        <v>45</v>
      </c>
    </row>
    <row r="964" spans="1:159" s="26" customFormat="1" x14ac:dyDescent="0.25">
      <c r="A964" s="26">
        <v>45</v>
      </c>
      <c r="B964" s="26" t="s">
        <v>797</v>
      </c>
      <c r="C964" s="26" t="s">
        <v>798</v>
      </c>
      <c r="D964" s="26">
        <v>2005</v>
      </c>
      <c r="E964" s="26">
        <v>1998</v>
      </c>
      <c r="F964" s="26" t="s">
        <v>363</v>
      </c>
      <c r="G964" s="26" t="s">
        <v>644</v>
      </c>
      <c r="H964" s="26">
        <v>40.19</v>
      </c>
      <c r="I964" s="26">
        <v>-103.17</v>
      </c>
      <c r="J964" s="26">
        <v>1384</v>
      </c>
      <c r="P964" s="52" t="s">
        <v>183</v>
      </c>
      <c r="Q964" s="52"/>
      <c r="R964" s="52"/>
      <c r="S964" s="52" t="s">
        <v>1647</v>
      </c>
      <c r="T964" s="52" t="s">
        <v>1647</v>
      </c>
      <c r="X964" s="26" t="s">
        <v>168</v>
      </c>
      <c r="AB964" s="26" t="s">
        <v>1576</v>
      </c>
      <c r="AC964" s="26" t="s">
        <v>1822</v>
      </c>
      <c r="AD964" s="153" t="str">
        <f t="shared" si="238"/>
        <v>Field_pea</v>
      </c>
      <c r="AE964" s="26" t="s">
        <v>150</v>
      </c>
      <c r="AJ964" s="26" t="s">
        <v>799</v>
      </c>
      <c r="AK964" s="26" t="s">
        <v>799</v>
      </c>
      <c r="AL964" s="26" t="s">
        <v>230</v>
      </c>
      <c r="AM964" s="26" t="s">
        <v>800</v>
      </c>
      <c r="AN964" s="26" t="s">
        <v>800</v>
      </c>
      <c r="AO964" s="26" t="s">
        <v>230</v>
      </c>
      <c r="AP964" s="26" t="s">
        <v>154</v>
      </c>
      <c r="AQ964" s="26">
        <v>4</v>
      </c>
      <c r="AR964" s="26">
        <v>4</v>
      </c>
      <c r="AS964" s="26" t="s">
        <v>404</v>
      </c>
      <c r="BB964" s="26">
        <v>4470</v>
      </c>
      <c r="BC964" s="26">
        <v>2269</v>
      </c>
      <c r="BK964" s="26">
        <f t="shared" ref="BK964:BK966" si="239">(25+10)/2</f>
        <v>17.5</v>
      </c>
      <c r="BL964" s="26">
        <f>(24+11)/2</f>
        <v>17.5</v>
      </c>
      <c r="BM964" s="26" t="s">
        <v>817</v>
      </c>
      <c r="DJ964" s="26">
        <v>283</v>
      </c>
      <c r="DK964" s="26">
        <v>216</v>
      </c>
      <c r="DL964" s="26" t="s">
        <v>801</v>
      </c>
      <c r="FA964" s="26" t="s">
        <v>873</v>
      </c>
      <c r="FC964" s="26">
        <v>45</v>
      </c>
    </row>
    <row r="965" spans="1:159" s="26" customFormat="1" x14ac:dyDescent="0.25">
      <c r="A965" s="26">
        <v>45</v>
      </c>
      <c r="B965" s="26" t="s">
        <v>797</v>
      </c>
      <c r="C965" s="26" t="s">
        <v>798</v>
      </c>
      <c r="D965" s="26">
        <v>2005</v>
      </c>
      <c r="E965" s="26">
        <v>1998</v>
      </c>
      <c r="F965" s="26" t="s">
        <v>363</v>
      </c>
      <c r="G965" s="26" t="s">
        <v>644</v>
      </c>
      <c r="H965" s="26">
        <v>40.19</v>
      </c>
      <c r="I965" s="26">
        <v>-103.17</v>
      </c>
      <c r="J965" s="26">
        <v>1384</v>
      </c>
      <c r="P965" s="52" t="s">
        <v>183</v>
      </c>
      <c r="Q965" s="52"/>
      <c r="R965" s="52"/>
      <c r="S965" s="52" t="s">
        <v>1647</v>
      </c>
      <c r="T965" s="52" t="s">
        <v>1647</v>
      </c>
      <c r="X965" s="26" t="s">
        <v>168</v>
      </c>
      <c r="AB965" s="26" t="s">
        <v>1576</v>
      </c>
      <c r="AC965" s="26" t="s">
        <v>682</v>
      </c>
      <c r="AD965" s="153" t="str">
        <f t="shared" si="238"/>
        <v>Lentil</v>
      </c>
      <c r="AE965" s="26" t="s">
        <v>150</v>
      </c>
      <c r="AJ965" s="26" t="s">
        <v>799</v>
      </c>
      <c r="AK965" s="26" t="s">
        <v>799</v>
      </c>
      <c r="AL965" s="26" t="s">
        <v>230</v>
      </c>
      <c r="AM965" s="26" t="s">
        <v>800</v>
      </c>
      <c r="AN965" s="26" t="s">
        <v>800</v>
      </c>
      <c r="AO965" s="26" t="s">
        <v>230</v>
      </c>
      <c r="AP965" s="26" t="s">
        <v>154</v>
      </c>
      <c r="AQ965" s="26">
        <v>4</v>
      </c>
      <c r="AR965" s="26">
        <v>4</v>
      </c>
      <c r="AS965" s="26" t="s">
        <v>404</v>
      </c>
      <c r="FA965" s="26" t="s">
        <v>873</v>
      </c>
      <c r="FC965" s="26">
        <v>45</v>
      </c>
    </row>
    <row r="966" spans="1:159" s="26" customFormat="1" x14ac:dyDescent="0.25">
      <c r="A966" s="26">
        <v>45</v>
      </c>
      <c r="B966" s="26" t="s">
        <v>797</v>
      </c>
      <c r="C966" s="26" t="s">
        <v>798</v>
      </c>
      <c r="D966" s="26">
        <v>2005</v>
      </c>
      <c r="E966" s="26">
        <v>1998</v>
      </c>
      <c r="F966" s="26" t="s">
        <v>363</v>
      </c>
      <c r="G966" s="26" t="s">
        <v>644</v>
      </c>
      <c r="H966" s="26">
        <v>40.19</v>
      </c>
      <c r="I966" s="26">
        <v>-103.17</v>
      </c>
      <c r="J966" s="26">
        <v>1384</v>
      </c>
      <c r="P966" s="52" t="s">
        <v>183</v>
      </c>
      <c r="Q966" s="52"/>
      <c r="R966" s="52"/>
      <c r="S966" s="52" t="s">
        <v>1647</v>
      </c>
      <c r="T966" s="52" t="s">
        <v>1647</v>
      </c>
      <c r="X966" s="26" t="s">
        <v>168</v>
      </c>
      <c r="AB966" s="26" t="s">
        <v>1576</v>
      </c>
      <c r="AC966" s="26" t="s">
        <v>301</v>
      </c>
      <c r="AD966" s="153" t="str">
        <f t="shared" si="238"/>
        <v>Vetch</v>
      </c>
      <c r="AE966" s="26" t="s">
        <v>150</v>
      </c>
      <c r="AJ966" s="26" t="s">
        <v>799</v>
      </c>
      <c r="AK966" s="26" t="s">
        <v>799</v>
      </c>
      <c r="AL966" s="26" t="s">
        <v>230</v>
      </c>
      <c r="AM966" s="26" t="s">
        <v>800</v>
      </c>
      <c r="AN966" s="26" t="s">
        <v>800</v>
      </c>
      <c r="AO966" s="26" t="s">
        <v>230</v>
      </c>
      <c r="AP966" s="26" t="s">
        <v>154</v>
      </c>
      <c r="AQ966" s="26">
        <v>4</v>
      </c>
      <c r="AR966" s="26">
        <v>4</v>
      </c>
      <c r="AS966" s="26" t="s">
        <v>404</v>
      </c>
      <c r="BB966" s="26">
        <v>4470</v>
      </c>
      <c r="BC966" s="26">
        <v>2293</v>
      </c>
      <c r="BK966" s="26">
        <f t="shared" si="239"/>
        <v>17.5</v>
      </c>
      <c r="BL966" s="26">
        <f>(32+11)/2</f>
        <v>21.5</v>
      </c>
      <c r="BM966" s="26" t="s">
        <v>817</v>
      </c>
      <c r="DJ966" s="26">
        <v>283</v>
      </c>
      <c r="DK966" s="26">
        <v>165</v>
      </c>
      <c r="DL966" s="26" t="s">
        <v>801</v>
      </c>
      <c r="FA966" s="26" t="s">
        <v>873</v>
      </c>
      <c r="FC966" s="26">
        <v>45</v>
      </c>
    </row>
    <row r="967" spans="1:159" s="35" customFormat="1" x14ac:dyDescent="0.25">
      <c r="A967" s="35">
        <v>45</v>
      </c>
      <c r="B967" s="35" t="s">
        <v>797</v>
      </c>
      <c r="C967" s="35" t="s">
        <v>798</v>
      </c>
      <c r="D967" s="35">
        <v>2005</v>
      </c>
      <c r="E967" s="35">
        <v>1999</v>
      </c>
      <c r="F967" s="35" t="s">
        <v>363</v>
      </c>
      <c r="G967" s="35" t="s">
        <v>644</v>
      </c>
      <c r="H967" s="35">
        <v>40.19</v>
      </c>
      <c r="I967" s="35">
        <v>-103.17</v>
      </c>
      <c r="J967" s="35">
        <v>1384</v>
      </c>
      <c r="P967" s="54" t="s">
        <v>200</v>
      </c>
      <c r="Q967" s="54"/>
      <c r="R967" s="54"/>
      <c r="S967" s="54" t="s">
        <v>1647</v>
      </c>
      <c r="T967" s="54" t="s">
        <v>1647</v>
      </c>
      <c r="X967" s="35" t="s">
        <v>168</v>
      </c>
      <c r="AB967" s="35" t="s">
        <v>1576</v>
      </c>
      <c r="AC967" s="35" t="s">
        <v>1821</v>
      </c>
      <c r="AD967" s="153" t="str">
        <f t="shared" si="238"/>
        <v>Austrian_winter_pea</v>
      </c>
      <c r="AE967" s="35" t="s">
        <v>150</v>
      </c>
      <c r="AJ967" s="35" t="s">
        <v>799</v>
      </c>
      <c r="AK967" s="35" t="s">
        <v>799</v>
      </c>
      <c r="AL967" s="35" t="s">
        <v>230</v>
      </c>
      <c r="AM967" s="35" t="s">
        <v>800</v>
      </c>
      <c r="AN967" s="35" t="s">
        <v>800</v>
      </c>
      <c r="AO967" s="35" t="s">
        <v>230</v>
      </c>
      <c r="AP967" s="35" t="s">
        <v>154</v>
      </c>
      <c r="AQ967" s="35">
        <v>4</v>
      </c>
      <c r="AR967" s="35">
        <v>4</v>
      </c>
      <c r="AS967" s="35" t="s">
        <v>404</v>
      </c>
      <c r="BB967" s="35">
        <v>2455</v>
      </c>
      <c r="BC967" s="35">
        <v>2007</v>
      </c>
      <c r="BK967" s="35">
        <f>(59+14)/2</f>
        <v>36.5</v>
      </c>
      <c r="BL967" s="35">
        <f>(76+13)/2</f>
        <v>44.5</v>
      </c>
      <c r="BM967" s="35" t="s">
        <v>817</v>
      </c>
      <c r="DJ967" s="35">
        <v>455</v>
      </c>
      <c r="DK967" s="35">
        <v>379</v>
      </c>
      <c r="DL967" s="35" t="s">
        <v>801</v>
      </c>
      <c r="FA967" s="35" t="s">
        <v>873</v>
      </c>
      <c r="FC967" s="35">
        <v>45</v>
      </c>
    </row>
    <row r="968" spans="1:159" s="35" customFormat="1" x14ac:dyDescent="0.25">
      <c r="A968" s="35">
        <v>45</v>
      </c>
      <c r="B968" s="35" t="s">
        <v>797</v>
      </c>
      <c r="C968" s="35" t="s">
        <v>798</v>
      </c>
      <c r="D968" s="35">
        <v>2005</v>
      </c>
      <c r="E968" s="35">
        <v>1999</v>
      </c>
      <c r="F968" s="35" t="s">
        <v>363</v>
      </c>
      <c r="G968" s="35" t="s">
        <v>644</v>
      </c>
      <c r="H968" s="35">
        <v>40.19</v>
      </c>
      <c r="I968" s="35">
        <v>-103.17</v>
      </c>
      <c r="J968" s="35">
        <v>1384</v>
      </c>
      <c r="P968" s="54" t="s">
        <v>200</v>
      </c>
      <c r="Q968" s="54"/>
      <c r="R968" s="54"/>
      <c r="S968" s="54" t="s">
        <v>1647</v>
      </c>
      <c r="T968" s="54" t="s">
        <v>1647</v>
      </c>
      <c r="X968" s="35" t="s">
        <v>168</v>
      </c>
      <c r="AB968" s="35" t="s">
        <v>1576</v>
      </c>
      <c r="AC968" s="35" t="s">
        <v>1822</v>
      </c>
      <c r="AD968" s="153" t="str">
        <f t="shared" si="238"/>
        <v>Field_pea</v>
      </c>
      <c r="AE968" s="35" t="s">
        <v>150</v>
      </c>
      <c r="AJ968" s="35" t="s">
        <v>799</v>
      </c>
      <c r="AK968" s="35" t="s">
        <v>799</v>
      </c>
      <c r="AL968" s="35" t="s">
        <v>230</v>
      </c>
      <c r="AM968" s="35" t="s">
        <v>800</v>
      </c>
      <c r="AN968" s="35" t="s">
        <v>800</v>
      </c>
      <c r="AO968" s="35" t="s">
        <v>230</v>
      </c>
      <c r="AP968" s="35" t="s">
        <v>154</v>
      </c>
      <c r="AQ968" s="35">
        <v>4</v>
      </c>
      <c r="AR968" s="35">
        <v>4</v>
      </c>
      <c r="AS968" s="35" t="s">
        <v>404</v>
      </c>
      <c r="BB968" s="35">
        <v>2455</v>
      </c>
      <c r="BC968" s="35">
        <v>1875</v>
      </c>
      <c r="BK968" s="35">
        <f t="shared" ref="BK968:BK970" si="240">(59+14)/2</f>
        <v>36.5</v>
      </c>
      <c r="BL968" s="35">
        <f>(59+14)/2</f>
        <v>36.5</v>
      </c>
      <c r="BM968" s="35" t="s">
        <v>817</v>
      </c>
      <c r="DJ968" s="35">
        <v>455</v>
      </c>
      <c r="DK968" s="35">
        <v>380</v>
      </c>
      <c r="DL968" s="35" t="s">
        <v>801</v>
      </c>
      <c r="FA968" s="35" t="s">
        <v>873</v>
      </c>
      <c r="FC968" s="35">
        <v>45</v>
      </c>
    </row>
    <row r="969" spans="1:159" s="35" customFormat="1" x14ac:dyDescent="0.25">
      <c r="A969" s="35">
        <v>45</v>
      </c>
      <c r="B969" s="35" t="s">
        <v>797</v>
      </c>
      <c r="C969" s="35" t="s">
        <v>798</v>
      </c>
      <c r="D969" s="35">
        <v>2005</v>
      </c>
      <c r="E969" s="35">
        <v>1999</v>
      </c>
      <c r="F969" s="35" t="s">
        <v>363</v>
      </c>
      <c r="G969" s="35" t="s">
        <v>644</v>
      </c>
      <c r="H969" s="35">
        <v>40.19</v>
      </c>
      <c r="I969" s="35">
        <v>-103.17</v>
      </c>
      <c r="J969" s="35">
        <v>1384</v>
      </c>
      <c r="P969" s="54" t="s">
        <v>200</v>
      </c>
      <c r="Q969" s="54"/>
      <c r="R969" s="54"/>
      <c r="S969" s="54" t="s">
        <v>1647</v>
      </c>
      <c r="T969" s="54" t="s">
        <v>1647</v>
      </c>
      <c r="X969" s="35" t="s">
        <v>168</v>
      </c>
      <c r="AB969" s="35" t="s">
        <v>1576</v>
      </c>
      <c r="AC969" s="35" t="s">
        <v>682</v>
      </c>
      <c r="AD969" s="153" t="str">
        <f t="shared" si="238"/>
        <v>Lentil</v>
      </c>
      <c r="AE969" s="35" t="s">
        <v>150</v>
      </c>
      <c r="AJ969" s="35" t="s">
        <v>799</v>
      </c>
      <c r="AK969" s="35" t="s">
        <v>799</v>
      </c>
      <c r="AL969" s="35" t="s">
        <v>230</v>
      </c>
      <c r="AM969" s="35" t="s">
        <v>800</v>
      </c>
      <c r="AN969" s="35" t="s">
        <v>800</v>
      </c>
      <c r="AO969" s="35" t="s">
        <v>230</v>
      </c>
      <c r="AP969" s="35" t="s">
        <v>154</v>
      </c>
      <c r="AQ969" s="35">
        <v>4</v>
      </c>
      <c r="AR969" s="35">
        <v>4</v>
      </c>
      <c r="AS969" s="35" t="s">
        <v>404</v>
      </c>
      <c r="FA969" s="35" t="s">
        <v>873</v>
      </c>
      <c r="FC969" s="35">
        <v>45</v>
      </c>
    </row>
    <row r="970" spans="1:159" s="35" customFormat="1" x14ac:dyDescent="0.25">
      <c r="A970" s="35">
        <v>45</v>
      </c>
      <c r="B970" s="35" t="s">
        <v>797</v>
      </c>
      <c r="C970" s="35" t="s">
        <v>798</v>
      </c>
      <c r="D970" s="35">
        <v>2005</v>
      </c>
      <c r="E970" s="35">
        <v>1999</v>
      </c>
      <c r="F970" s="35" t="s">
        <v>363</v>
      </c>
      <c r="G970" s="35" t="s">
        <v>644</v>
      </c>
      <c r="H970" s="35">
        <v>40.19</v>
      </c>
      <c r="I970" s="35">
        <v>-103.17</v>
      </c>
      <c r="J970" s="35">
        <v>1384</v>
      </c>
      <c r="P970" s="54" t="s">
        <v>200</v>
      </c>
      <c r="Q970" s="54"/>
      <c r="R970" s="54"/>
      <c r="S970" s="54" t="s">
        <v>1647</v>
      </c>
      <c r="T970" s="54" t="s">
        <v>1647</v>
      </c>
      <c r="X970" s="35" t="s">
        <v>168</v>
      </c>
      <c r="AB970" s="35" t="s">
        <v>1576</v>
      </c>
      <c r="AC970" s="35" t="s">
        <v>301</v>
      </c>
      <c r="AD970" s="153" t="str">
        <f t="shared" si="238"/>
        <v>Vetch</v>
      </c>
      <c r="AE970" s="35" t="s">
        <v>150</v>
      </c>
      <c r="AJ970" s="35" t="s">
        <v>799</v>
      </c>
      <c r="AK970" s="35" t="s">
        <v>799</v>
      </c>
      <c r="AL970" s="35" t="s">
        <v>230</v>
      </c>
      <c r="AM970" s="35" t="s">
        <v>800</v>
      </c>
      <c r="AN970" s="35" t="s">
        <v>800</v>
      </c>
      <c r="AO970" s="35" t="s">
        <v>230</v>
      </c>
      <c r="AP970" s="35" t="s">
        <v>154</v>
      </c>
      <c r="AQ970" s="35">
        <v>4</v>
      </c>
      <c r="AR970" s="35">
        <v>4</v>
      </c>
      <c r="AS970" s="35" t="s">
        <v>404</v>
      </c>
      <c r="BB970" s="35">
        <v>2455</v>
      </c>
      <c r="BC970" s="35">
        <v>1786</v>
      </c>
      <c r="BK970" s="35">
        <f t="shared" si="240"/>
        <v>36.5</v>
      </c>
      <c r="BL970" s="35">
        <f>(71+14)/2</f>
        <v>42.5</v>
      </c>
      <c r="BM970" s="35" t="s">
        <v>817</v>
      </c>
      <c r="DJ970" s="35">
        <v>455</v>
      </c>
      <c r="DK970" s="35">
        <v>375</v>
      </c>
      <c r="DL970" s="35" t="s">
        <v>801</v>
      </c>
      <c r="FA970" s="35" t="s">
        <v>873</v>
      </c>
      <c r="FC970" s="35">
        <v>45</v>
      </c>
    </row>
    <row r="971" spans="1:159" s="38" customFormat="1" x14ac:dyDescent="0.25">
      <c r="A971" s="38">
        <v>46</v>
      </c>
      <c r="B971" s="38" t="s">
        <v>803</v>
      </c>
      <c r="C971" s="38" t="s">
        <v>802</v>
      </c>
      <c r="D971" s="38">
        <v>2013</v>
      </c>
      <c r="E971" s="38">
        <v>2009</v>
      </c>
      <c r="F971" s="38" t="s">
        <v>395</v>
      </c>
      <c r="G971" s="38" t="s">
        <v>804</v>
      </c>
      <c r="H971" s="38">
        <f>47+55/60</f>
        <v>47.916666666666664</v>
      </c>
      <c r="I971" s="38">
        <f>-109-55/60</f>
        <v>-109.91666666666667</v>
      </c>
      <c r="J971" s="38">
        <v>888</v>
      </c>
      <c r="P971" s="57" t="s">
        <v>179</v>
      </c>
      <c r="Q971" s="57"/>
      <c r="R971" s="57" t="s">
        <v>815</v>
      </c>
      <c r="S971" s="57" t="s">
        <v>1654</v>
      </c>
      <c r="T971" s="57" t="s">
        <v>1682</v>
      </c>
      <c r="X971" s="38" t="s">
        <v>635</v>
      </c>
      <c r="Y971" s="38">
        <v>6.1</v>
      </c>
      <c r="Z971" s="38">
        <v>1.1000000000000001</v>
      </c>
      <c r="AB971" s="38" t="s">
        <v>1577</v>
      </c>
      <c r="AC971" s="38" t="s">
        <v>1823</v>
      </c>
      <c r="AD971" s="153" t="str">
        <f t="shared" si="238"/>
        <v>Semileafless_pea</v>
      </c>
      <c r="AE971" s="38" t="s">
        <v>1636</v>
      </c>
      <c r="AK971" s="38" t="s">
        <v>203</v>
      </c>
      <c r="AM971" s="38">
        <v>0</v>
      </c>
      <c r="AN971" s="38">
        <v>0</v>
      </c>
      <c r="AO971" s="38" t="s">
        <v>230</v>
      </c>
      <c r="AP971" s="38" t="s">
        <v>154</v>
      </c>
      <c r="AQ971" s="38">
        <v>6</v>
      </c>
      <c r="AR971" s="38">
        <v>6</v>
      </c>
      <c r="AS971" s="38" t="s">
        <v>177</v>
      </c>
      <c r="AU971" s="38">
        <f>1.07*1000</f>
        <v>1070</v>
      </c>
      <c r="AV971" s="38">
        <f>AU971/44.2</f>
        <v>24.20814479638009</v>
      </c>
      <c r="AW971" s="67" t="s">
        <v>810</v>
      </c>
      <c r="BB971" s="38">
        <v>4760</v>
      </c>
      <c r="BC971" s="38">
        <v>4250</v>
      </c>
      <c r="BK971" s="38">
        <f>16</f>
        <v>16</v>
      </c>
      <c r="BL971" s="38">
        <f>10.6</f>
        <v>10.6</v>
      </c>
      <c r="BM971" s="38" t="s">
        <v>818</v>
      </c>
      <c r="BN971" s="38">
        <v>23</v>
      </c>
      <c r="BO971" s="38">
        <v>21</v>
      </c>
      <c r="BQ971" s="38">
        <v>340</v>
      </c>
      <c r="BR971" s="38">
        <v>433</v>
      </c>
      <c r="DA971" s="38">
        <f>0.86</f>
        <v>0.86</v>
      </c>
      <c r="DB971" s="38">
        <f>1.37</f>
        <v>1.37</v>
      </c>
      <c r="DC971" s="38" t="s">
        <v>905</v>
      </c>
      <c r="DG971" s="38">
        <f>77/3</f>
        <v>25.666666666666668</v>
      </c>
      <c r="DH971" s="38">
        <f>51/3</f>
        <v>17</v>
      </c>
      <c r="DI971" s="38" t="s">
        <v>847</v>
      </c>
      <c r="DY971" s="38">
        <v>15</v>
      </c>
      <c r="DZ971" s="38">
        <v>5</v>
      </c>
      <c r="FA971" s="38" t="s">
        <v>820</v>
      </c>
      <c r="FB971" s="38" t="s">
        <v>819</v>
      </c>
      <c r="FC971" s="38">
        <v>46</v>
      </c>
    </row>
    <row r="972" spans="1:159" s="38" customFormat="1" x14ac:dyDescent="0.25">
      <c r="A972" s="38">
        <v>46</v>
      </c>
      <c r="B972" s="38" t="s">
        <v>803</v>
      </c>
      <c r="C972" s="38" t="s">
        <v>802</v>
      </c>
      <c r="D972" s="38">
        <v>2013</v>
      </c>
      <c r="E972" s="38">
        <v>2009</v>
      </c>
      <c r="F972" s="38" t="s">
        <v>395</v>
      </c>
      <c r="G972" s="38" t="s">
        <v>805</v>
      </c>
      <c r="H972" s="38">
        <f>48+18/60</f>
        <v>48.3</v>
      </c>
      <c r="I972" s="38">
        <f>-110-6/60</f>
        <v>-110.1</v>
      </c>
      <c r="J972" s="38">
        <v>833</v>
      </c>
      <c r="P972" s="57" t="s">
        <v>179</v>
      </c>
      <c r="Q972" s="57"/>
      <c r="R972" s="57" t="s">
        <v>815</v>
      </c>
      <c r="S972" s="57" t="s">
        <v>1654</v>
      </c>
      <c r="T972" s="57" t="s">
        <v>1682</v>
      </c>
      <c r="X972" s="38" t="s">
        <v>175</v>
      </c>
      <c r="Y972" s="38">
        <v>6.9</v>
      </c>
      <c r="Z972" s="38">
        <v>0.87</v>
      </c>
      <c r="AB972" s="38" t="s">
        <v>1577</v>
      </c>
      <c r="AC972" s="38" t="s">
        <v>1824</v>
      </c>
      <c r="AD972" s="153" t="str">
        <f t="shared" si="238"/>
        <v>Forage_pea</v>
      </c>
      <c r="AE972" s="38" t="s">
        <v>1636</v>
      </c>
      <c r="AK972" s="38" t="s">
        <v>203</v>
      </c>
      <c r="AM972" s="38">
        <v>0</v>
      </c>
      <c r="AN972" s="38">
        <v>0</v>
      </c>
      <c r="AO972" s="38" t="s">
        <v>230</v>
      </c>
      <c r="AP972" s="38" t="s">
        <v>154</v>
      </c>
      <c r="AQ972" s="38">
        <v>8</v>
      </c>
      <c r="AR972" s="38">
        <v>8</v>
      </c>
      <c r="AS972" s="38" t="s">
        <v>177</v>
      </c>
      <c r="AU972" s="38">
        <v>730</v>
      </c>
      <c r="AV972" s="38">
        <f>AU972/19.3</f>
        <v>37.823834196891191</v>
      </c>
      <c r="AW972" s="67" t="s">
        <v>811</v>
      </c>
      <c r="BB972" s="38">
        <v>4480</v>
      </c>
      <c r="BC972" s="38">
        <v>4430</v>
      </c>
      <c r="BK972" s="38">
        <f>10.1</f>
        <v>10.1</v>
      </c>
      <c r="BL972" s="38">
        <f>7.8</f>
        <v>7.8</v>
      </c>
      <c r="BM972" s="38" t="s">
        <v>818</v>
      </c>
      <c r="BN972" s="38">
        <v>19</v>
      </c>
      <c r="BO972" s="38">
        <v>25</v>
      </c>
      <c r="BQ972" s="38">
        <v>422</v>
      </c>
      <c r="BR972" s="38">
        <v>403</v>
      </c>
      <c r="DA972" s="38">
        <f>0.69</f>
        <v>0.69</v>
      </c>
      <c r="DB972" s="38">
        <f>0.77</f>
        <v>0.77</v>
      </c>
      <c r="DC972" s="38" t="s">
        <v>905</v>
      </c>
      <c r="DG972" s="38">
        <f>63/3</f>
        <v>21</v>
      </c>
      <c r="DH972" s="38">
        <f>41/3</f>
        <v>13.666666666666666</v>
      </c>
      <c r="DI972" s="38" t="s">
        <v>847</v>
      </c>
      <c r="DY972" s="38">
        <v>12</v>
      </c>
      <c r="DZ972" s="38">
        <v>13</v>
      </c>
      <c r="FA972" s="38" t="s">
        <v>820</v>
      </c>
      <c r="FB972" s="38" t="s">
        <v>819</v>
      </c>
      <c r="FC972" s="38">
        <v>46</v>
      </c>
    </row>
    <row r="973" spans="1:159" s="38" customFormat="1" x14ac:dyDescent="0.25">
      <c r="A973" s="38">
        <v>46</v>
      </c>
      <c r="B973" s="38" t="s">
        <v>803</v>
      </c>
      <c r="C973" s="38" t="s">
        <v>802</v>
      </c>
      <c r="D973" s="38">
        <v>2013</v>
      </c>
      <c r="E973" s="38">
        <v>2009</v>
      </c>
      <c r="F973" s="38" t="s">
        <v>395</v>
      </c>
      <c r="G973" s="38" t="s">
        <v>806</v>
      </c>
      <c r="H973" s="38">
        <f>48+45/60</f>
        <v>48.75</v>
      </c>
      <c r="I973" s="38">
        <f>-110-52/60</f>
        <v>-110.86666666666666</v>
      </c>
      <c r="J973" s="38">
        <v>1059</v>
      </c>
      <c r="P973" s="57" t="s">
        <v>179</v>
      </c>
      <c r="Q973" s="57"/>
      <c r="R973" s="57" t="s">
        <v>815</v>
      </c>
      <c r="S973" s="57" t="s">
        <v>1654</v>
      </c>
      <c r="T973" s="57" t="s">
        <v>1682</v>
      </c>
      <c r="X973" s="38" t="s">
        <v>809</v>
      </c>
      <c r="Y973" s="38">
        <v>7.6</v>
      </c>
      <c r="Z973" s="38">
        <v>1.28</v>
      </c>
      <c r="AB973" s="38" t="s">
        <v>1577</v>
      </c>
      <c r="AC973" s="38" t="s">
        <v>1823</v>
      </c>
      <c r="AD973" s="153" t="str">
        <f t="shared" si="238"/>
        <v>Semileafless_pea</v>
      </c>
      <c r="AE973" s="38" t="s">
        <v>1636</v>
      </c>
      <c r="AK973" s="38" t="s">
        <v>203</v>
      </c>
      <c r="AM973" s="38">
        <v>0</v>
      </c>
      <c r="AN973" s="38">
        <v>0</v>
      </c>
      <c r="AO973" s="38" t="s">
        <v>230</v>
      </c>
      <c r="AP973" s="38" t="s">
        <v>154</v>
      </c>
      <c r="AQ973" s="38">
        <v>12</v>
      </c>
      <c r="AR973" s="38">
        <v>12</v>
      </c>
      <c r="AS973" s="38" t="s">
        <v>177</v>
      </c>
      <c r="AU973" s="38">
        <f>1.02*1000</f>
        <v>1020</v>
      </c>
      <c r="AV973" s="38">
        <f>AU973/37.8</f>
        <v>26.984126984126988</v>
      </c>
      <c r="AW973" s="67" t="s">
        <v>812</v>
      </c>
      <c r="BB973" s="38">
        <v>4050</v>
      </c>
      <c r="BC973" s="38">
        <v>3920</v>
      </c>
      <c r="BK973" s="38">
        <f>11.2</f>
        <v>11.2</v>
      </c>
      <c r="BL973" s="38">
        <f>15.7</f>
        <v>15.7</v>
      </c>
      <c r="BM973" s="38" t="s">
        <v>818</v>
      </c>
      <c r="BN973" s="38">
        <v>16</v>
      </c>
      <c r="BO973" s="38">
        <v>19</v>
      </c>
      <c r="BQ973" s="38">
        <v>319</v>
      </c>
      <c r="BR973" s="38">
        <v>451</v>
      </c>
      <c r="DA973" s="38">
        <f>0.74</f>
        <v>0.74</v>
      </c>
      <c r="DB973" s="38">
        <f>0.87</f>
        <v>0.87</v>
      </c>
      <c r="DC973" s="38" t="s">
        <v>905</v>
      </c>
      <c r="DG973" s="38">
        <f>79/3</f>
        <v>26.333333333333332</v>
      </c>
      <c r="DH973" s="38">
        <f>55/3</f>
        <v>18.333333333333332</v>
      </c>
      <c r="DI973" s="38" t="s">
        <v>847</v>
      </c>
      <c r="DY973" s="38">
        <v>5</v>
      </c>
      <c r="DZ973" s="38">
        <v>17</v>
      </c>
      <c r="FA973" s="38" t="s">
        <v>820</v>
      </c>
      <c r="FB973" s="38" t="s">
        <v>819</v>
      </c>
      <c r="FC973" s="38">
        <v>46</v>
      </c>
    </row>
    <row r="974" spans="1:159" s="38" customFormat="1" x14ac:dyDescent="0.25">
      <c r="A974" s="38">
        <v>46</v>
      </c>
      <c r="B974" s="38" t="s">
        <v>803</v>
      </c>
      <c r="C974" s="38" t="s">
        <v>802</v>
      </c>
      <c r="D974" s="38">
        <v>2013</v>
      </c>
      <c r="E974" s="38">
        <v>2009</v>
      </c>
      <c r="F974" s="38" t="s">
        <v>395</v>
      </c>
      <c r="G974" s="38" t="s">
        <v>807</v>
      </c>
      <c r="H974" s="38">
        <f>48+48/60</f>
        <v>48.8</v>
      </c>
      <c r="I974" s="38">
        <f>-111-38.5/60</f>
        <v>-111.64166666666667</v>
      </c>
      <c r="J974" s="38">
        <v>1102</v>
      </c>
      <c r="P974" s="57" t="s">
        <v>179</v>
      </c>
      <c r="Q974" s="57"/>
      <c r="R974" s="57" t="s">
        <v>815</v>
      </c>
      <c r="S974" s="57" t="s">
        <v>1654</v>
      </c>
      <c r="T974" s="57" t="s">
        <v>1682</v>
      </c>
      <c r="X974" s="38" t="s">
        <v>175</v>
      </c>
      <c r="Y974" s="38">
        <v>6.9</v>
      </c>
      <c r="Z974" s="38">
        <v>1.22</v>
      </c>
      <c r="AB974" s="38" t="s">
        <v>1577</v>
      </c>
      <c r="AC974" s="38" t="s">
        <v>1823</v>
      </c>
      <c r="AD974" s="153" t="str">
        <f t="shared" si="238"/>
        <v>Semileafless_pea</v>
      </c>
      <c r="AE974" s="38" t="s">
        <v>1636</v>
      </c>
      <c r="AK974" s="38" t="s">
        <v>203</v>
      </c>
      <c r="AM974" s="38">
        <v>0</v>
      </c>
      <c r="AN974" s="38">
        <v>0</v>
      </c>
      <c r="AO974" s="38" t="s">
        <v>230</v>
      </c>
      <c r="AP974" s="38" t="s">
        <v>154</v>
      </c>
      <c r="AQ974" s="38">
        <v>8</v>
      </c>
      <c r="AR974" s="38">
        <v>8</v>
      </c>
      <c r="AS974" s="38" t="s">
        <v>177</v>
      </c>
      <c r="AU974" s="38">
        <v>1090</v>
      </c>
      <c r="AV974" s="38">
        <f>AU974/28.4</f>
        <v>38.380281690140848</v>
      </c>
      <c r="AW974" s="67" t="s">
        <v>813</v>
      </c>
      <c r="BB974" s="38">
        <v>4830</v>
      </c>
      <c r="BC974" s="38">
        <v>4360</v>
      </c>
      <c r="BK974" s="38">
        <f>37</f>
        <v>37</v>
      </c>
      <c r="BL974" s="38">
        <f>16.8</f>
        <v>16.8</v>
      </c>
      <c r="BM974" s="38" t="s">
        <v>818</v>
      </c>
      <c r="BN974" s="38">
        <v>12</v>
      </c>
      <c r="BO974" s="38">
        <v>11</v>
      </c>
      <c r="BQ974" s="38">
        <v>599</v>
      </c>
      <c r="BR974" s="38">
        <v>519</v>
      </c>
      <c r="DA974" s="38">
        <f>0.83</f>
        <v>0.83</v>
      </c>
      <c r="DB974" s="38">
        <f>1.05</f>
        <v>1.05</v>
      </c>
      <c r="DC974" s="38" t="s">
        <v>905</v>
      </c>
      <c r="DG974" s="38">
        <f>76/3</f>
        <v>25.333333333333332</v>
      </c>
      <c r="DH974" s="38">
        <f>47/3</f>
        <v>15.666666666666666</v>
      </c>
      <c r="DI974" s="38" t="s">
        <v>847</v>
      </c>
      <c r="DY974" s="38">
        <v>12</v>
      </c>
      <c r="DZ974" s="38">
        <v>46</v>
      </c>
      <c r="FA974" s="38" t="s">
        <v>820</v>
      </c>
      <c r="FB974" s="38" t="s">
        <v>819</v>
      </c>
      <c r="FC974" s="38">
        <v>46</v>
      </c>
    </row>
    <row r="975" spans="1:159" s="38" customFormat="1" x14ac:dyDescent="0.25">
      <c r="A975" s="38">
        <v>46</v>
      </c>
      <c r="B975" s="38" t="s">
        <v>803</v>
      </c>
      <c r="C975" s="38" t="s">
        <v>802</v>
      </c>
      <c r="D975" s="38">
        <v>2013</v>
      </c>
      <c r="E975" s="38">
        <v>2009</v>
      </c>
      <c r="F975" s="38" t="s">
        <v>395</v>
      </c>
      <c r="G975" s="38" t="s">
        <v>808</v>
      </c>
      <c r="H975" s="38">
        <f>48+48/60</f>
        <v>48.8</v>
      </c>
      <c r="I975" s="38">
        <f>-111-31/60</f>
        <v>-111.51666666666667</v>
      </c>
      <c r="J975" s="38">
        <v>1090</v>
      </c>
      <c r="P975" s="57" t="s">
        <v>179</v>
      </c>
      <c r="Q975" s="57"/>
      <c r="R975" s="57" t="s">
        <v>815</v>
      </c>
      <c r="S975" s="57" t="s">
        <v>1654</v>
      </c>
      <c r="T975" s="57" t="s">
        <v>1682</v>
      </c>
      <c r="X975" s="38" t="s">
        <v>635</v>
      </c>
      <c r="Y975" s="38">
        <v>7.8</v>
      </c>
      <c r="Z975" s="38">
        <v>1.1000000000000001</v>
      </c>
      <c r="AB975" s="38" t="s">
        <v>1577</v>
      </c>
      <c r="AC975" s="38" t="s">
        <v>682</v>
      </c>
      <c r="AD975" s="153" t="str">
        <f t="shared" si="238"/>
        <v>Lentil</v>
      </c>
      <c r="AE975" s="38" t="s">
        <v>1636</v>
      </c>
      <c r="AK975" s="38" t="s">
        <v>203</v>
      </c>
      <c r="AM975" s="38">
        <v>0</v>
      </c>
      <c r="AN975" s="38">
        <v>0</v>
      </c>
      <c r="AO975" s="38" t="s">
        <v>230</v>
      </c>
      <c r="AP975" s="38" t="s">
        <v>154</v>
      </c>
      <c r="AQ975" s="38">
        <v>8</v>
      </c>
      <c r="AR975" s="38">
        <v>8</v>
      </c>
      <c r="AS975" s="38" t="s">
        <v>177</v>
      </c>
      <c r="AU975" s="38">
        <v>550</v>
      </c>
      <c r="AV975" s="38">
        <f>AU975/14.5</f>
        <v>37.931034482758619</v>
      </c>
      <c r="AW975" s="67" t="s">
        <v>814</v>
      </c>
      <c r="BB975" s="38">
        <v>1690</v>
      </c>
      <c r="BC975" s="38">
        <v>1510</v>
      </c>
      <c r="BK975" s="38">
        <f>12.3</f>
        <v>12.3</v>
      </c>
      <c r="BL975" s="38">
        <f>11.2</f>
        <v>11.2</v>
      </c>
      <c r="BM975" s="38" t="s">
        <v>818</v>
      </c>
      <c r="BN975" s="38">
        <v>9</v>
      </c>
      <c r="BO975" s="38">
        <v>8</v>
      </c>
      <c r="BQ975" s="38">
        <v>355</v>
      </c>
      <c r="BR975" s="38">
        <v>507</v>
      </c>
      <c r="DA975" s="38">
        <f>1.07</f>
        <v>1.07</v>
      </c>
      <c r="DB975" s="38">
        <f>1.32</f>
        <v>1.32</v>
      </c>
      <c r="DC975" s="38" t="s">
        <v>905</v>
      </c>
      <c r="DG975" s="38">
        <f>75/3</f>
        <v>25</v>
      </c>
      <c r="DH975" s="38">
        <f>52/3</f>
        <v>17.333333333333332</v>
      </c>
      <c r="DI975" s="38" t="s">
        <v>847</v>
      </c>
      <c r="DY975" s="38">
        <v>7</v>
      </c>
      <c r="DZ975" s="38">
        <v>23</v>
      </c>
      <c r="FA975" s="38" t="s">
        <v>820</v>
      </c>
      <c r="FB975" s="38" t="s">
        <v>819</v>
      </c>
      <c r="FC975" s="38">
        <v>46</v>
      </c>
    </row>
    <row r="976" spans="1:159" s="31" customFormat="1" x14ac:dyDescent="0.25">
      <c r="A976" s="31">
        <v>46</v>
      </c>
      <c r="B976" s="31" t="s">
        <v>803</v>
      </c>
      <c r="C976" s="31" t="s">
        <v>802</v>
      </c>
      <c r="D976" s="31">
        <v>2013</v>
      </c>
      <c r="E976" s="31">
        <v>2009</v>
      </c>
      <c r="F976" s="31" t="s">
        <v>395</v>
      </c>
      <c r="G976" s="31" t="s">
        <v>804</v>
      </c>
      <c r="H976" s="31">
        <f>47+55/60</f>
        <v>47.916666666666664</v>
      </c>
      <c r="I976" s="31">
        <f>-109-55/60</f>
        <v>-109.91666666666667</v>
      </c>
      <c r="J976" s="31">
        <v>888</v>
      </c>
      <c r="P976" s="56" t="s">
        <v>179</v>
      </c>
      <c r="Q976" s="56"/>
      <c r="R976" s="56" t="s">
        <v>815</v>
      </c>
      <c r="S976" s="56" t="s">
        <v>1667</v>
      </c>
      <c r="T976" s="56" t="s">
        <v>1682</v>
      </c>
      <c r="X976" s="31" t="s">
        <v>635</v>
      </c>
      <c r="Y976" s="31">
        <v>6.1</v>
      </c>
      <c r="Z976" s="31">
        <v>1.1000000000000001</v>
      </c>
      <c r="AB976" s="31" t="s">
        <v>1577</v>
      </c>
      <c r="AC976" s="31" t="s">
        <v>1823</v>
      </c>
      <c r="AD976" s="153" t="str">
        <f t="shared" si="238"/>
        <v>Semileafless_pea</v>
      </c>
      <c r="AE976" s="31" t="s">
        <v>1636</v>
      </c>
      <c r="AK976" s="31" t="s">
        <v>203</v>
      </c>
      <c r="AM976" s="31">
        <v>0</v>
      </c>
      <c r="AN976" s="31">
        <v>0</v>
      </c>
      <c r="AO976" s="31" t="s">
        <v>230</v>
      </c>
      <c r="AP976" s="31" t="s">
        <v>154</v>
      </c>
      <c r="AQ976" s="31">
        <v>6</v>
      </c>
      <c r="AR976" s="31">
        <v>6</v>
      </c>
      <c r="AS976" s="31" t="s">
        <v>177</v>
      </c>
      <c r="AU976" s="31">
        <f>1.07*1000</f>
        <v>1070</v>
      </c>
      <c r="AV976" s="31">
        <f>AU976/44.2</f>
        <v>24.20814479638009</v>
      </c>
      <c r="AW976" s="68" t="s">
        <v>810</v>
      </c>
      <c r="BK976" s="31">
        <f>10</f>
        <v>10</v>
      </c>
      <c r="BL976" s="31">
        <f>3</f>
        <v>3</v>
      </c>
      <c r="BM976" s="31" t="s">
        <v>818</v>
      </c>
      <c r="DG976" s="31">
        <f>65/3</f>
        <v>21.666666666666668</v>
      </c>
      <c r="DH976" s="31">
        <f>54/3</f>
        <v>18</v>
      </c>
      <c r="DI976" s="31" t="s">
        <v>847</v>
      </c>
      <c r="FA976" s="31" t="s">
        <v>820</v>
      </c>
      <c r="FB976" s="31" t="s">
        <v>819</v>
      </c>
      <c r="FC976" s="31">
        <v>46</v>
      </c>
    </row>
    <row r="977" spans="1:159" s="31" customFormat="1" x14ac:dyDescent="0.25">
      <c r="A977" s="31">
        <v>46</v>
      </c>
      <c r="B977" s="31" t="s">
        <v>803</v>
      </c>
      <c r="C977" s="31" t="s">
        <v>802</v>
      </c>
      <c r="D977" s="31">
        <v>2013</v>
      </c>
      <c r="E977" s="31">
        <v>2009</v>
      </c>
      <c r="F977" s="31" t="s">
        <v>395</v>
      </c>
      <c r="G977" s="31" t="s">
        <v>805</v>
      </c>
      <c r="H977" s="31">
        <f>48+18/60</f>
        <v>48.3</v>
      </c>
      <c r="I977" s="31">
        <f>-110-6/60</f>
        <v>-110.1</v>
      </c>
      <c r="J977" s="31">
        <v>833</v>
      </c>
      <c r="P977" s="56" t="s">
        <v>179</v>
      </c>
      <c r="Q977" s="56"/>
      <c r="R977" s="56" t="s">
        <v>815</v>
      </c>
      <c r="S977" s="56" t="s">
        <v>1667</v>
      </c>
      <c r="T977" s="56" t="s">
        <v>1682</v>
      </c>
      <c r="X977" s="31" t="s">
        <v>175</v>
      </c>
      <c r="Y977" s="31">
        <v>6.9</v>
      </c>
      <c r="Z977" s="31">
        <v>0.87</v>
      </c>
      <c r="AB977" s="31" t="s">
        <v>1577</v>
      </c>
      <c r="AC977" s="31" t="s">
        <v>1824</v>
      </c>
      <c r="AD977" s="153" t="str">
        <f t="shared" si="238"/>
        <v>Forage_pea</v>
      </c>
      <c r="AE977" s="31" t="s">
        <v>1636</v>
      </c>
      <c r="AK977" s="31" t="s">
        <v>203</v>
      </c>
      <c r="AM977" s="31">
        <v>0</v>
      </c>
      <c r="AN977" s="31">
        <v>0</v>
      </c>
      <c r="AO977" s="31" t="s">
        <v>230</v>
      </c>
      <c r="AP977" s="31" t="s">
        <v>154</v>
      </c>
      <c r="AQ977" s="31">
        <v>8</v>
      </c>
      <c r="AR977" s="31">
        <v>8</v>
      </c>
      <c r="AS977" s="31" t="s">
        <v>177</v>
      </c>
      <c r="AU977" s="31">
        <v>730</v>
      </c>
      <c r="AV977" s="31">
        <f>AU977/19.3</f>
        <v>37.823834196891191</v>
      </c>
      <c r="AW977" s="68" t="s">
        <v>811</v>
      </c>
      <c r="BK977" s="31">
        <f>4</f>
        <v>4</v>
      </c>
      <c r="BL977" s="31">
        <f>3</f>
        <v>3</v>
      </c>
      <c r="BM977" s="31" t="s">
        <v>818</v>
      </c>
      <c r="DG977" s="31">
        <f>48/3</f>
        <v>16</v>
      </c>
      <c r="DH977" s="31">
        <f>41/3</f>
        <v>13.666666666666666</v>
      </c>
      <c r="DI977" s="31" t="s">
        <v>847</v>
      </c>
      <c r="FA977" s="31" t="s">
        <v>820</v>
      </c>
      <c r="FB977" s="31" t="s">
        <v>819</v>
      </c>
      <c r="FC977" s="31">
        <v>46</v>
      </c>
    </row>
    <row r="978" spans="1:159" s="31" customFormat="1" x14ac:dyDescent="0.25">
      <c r="A978" s="31">
        <v>46</v>
      </c>
      <c r="B978" s="31" t="s">
        <v>803</v>
      </c>
      <c r="C978" s="31" t="s">
        <v>802</v>
      </c>
      <c r="D978" s="31">
        <v>2013</v>
      </c>
      <c r="E978" s="31">
        <v>2009</v>
      </c>
      <c r="F978" s="31" t="s">
        <v>395</v>
      </c>
      <c r="G978" s="31" t="s">
        <v>806</v>
      </c>
      <c r="H978" s="31">
        <f>48+45/60</f>
        <v>48.75</v>
      </c>
      <c r="I978" s="31">
        <f>-110-52/60</f>
        <v>-110.86666666666666</v>
      </c>
      <c r="J978" s="31">
        <v>1059</v>
      </c>
      <c r="P978" s="56" t="s">
        <v>179</v>
      </c>
      <c r="Q978" s="56"/>
      <c r="R978" s="56" t="s">
        <v>815</v>
      </c>
      <c r="S978" s="56" t="s">
        <v>1667</v>
      </c>
      <c r="T978" s="56" t="s">
        <v>1682</v>
      </c>
      <c r="X978" s="31" t="s">
        <v>809</v>
      </c>
      <c r="Y978" s="31">
        <v>7.6</v>
      </c>
      <c r="Z978" s="31">
        <v>1.28</v>
      </c>
      <c r="AB978" s="31" t="s">
        <v>1577</v>
      </c>
      <c r="AC978" s="31" t="s">
        <v>1823</v>
      </c>
      <c r="AD978" s="153" t="str">
        <f t="shared" si="238"/>
        <v>Semileafless_pea</v>
      </c>
      <c r="AE978" s="31" t="s">
        <v>1636</v>
      </c>
      <c r="AK978" s="31" t="s">
        <v>203</v>
      </c>
      <c r="AM978" s="31">
        <v>0</v>
      </c>
      <c r="AN978" s="31">
        <v>0</v>
      </c>
      <c r="AO978" s="31" t="s">
        <v>230</v>
      </c>
      <c r="AP978" s="31" t="s">
        <v>154</v>
      </c>
      <c r="AQ978" s="31">
        <v>12</v>
      </c>
      <c r="AR978" s="31">
        <v>12</v>
      </c>
      <c r="AS978" s="31" t="s">
        <v>177</v>
      </c>
      <c r="AU978" s="31">
        <f>1.02*1000</f>
        <v>1020</v>
      </c>
      <c r="AV978" s="31">
        <f>AU978/37.8</f>
        <v>26.984126984126988</v>
      </c>
      <c r="AW978" s="68" t="s">
        <v>812</v>
      </c>
      <c r="BK978" s="31">
        <f>20</f>
        <v>20</v>
      </c>
      <c r="BL978" s="31">
        <f>5</f>
        <v>5</v>
      </c>
      <c r="BM978" s="31" t="s">
        <v>818</v>
      </c>
      <c r="DG978" s="31">
        <f>77/3</f>
        <v>25.666666666666668</v>
      </c>
      <c r="DH978" s="31">
        <f>68/3</f>
        <v>22.666666666666668</v>
      </c>
      <c r="DI978" s="31" t="s">
        <v>847</v>
      </c>
      <c r="FA978" s="31" t="s">
        <v>820</v>
      </c>
      <c r="FB978" s="31" t="s">
        <v>819</v>
      </c>
      <c r="FC978" s="31">
        <v>46</v>
      </c>
    </row>
    <row r="979" spans="1:159" s="31" customFormat="1" x14ac:dyDescent="0.25">
      <c r="A979" s="31">
        <v>46</v>
      </c>
      <c r="B979" s="31" t="s">
        <v>803</v>
      </c>
      <c r="C979" s="31" t="s">
        <v>802</v>
      </c>
      <c r="D979" s="31">
        <v>2013</v>
      </c>
      <c r="E979" s="31">
        <v>2009</v>
      </c>
      <c r="F979" s="31" t="s">
        <v>395</v>
      </c>
      <c r="G979" s="31" t="s">
        <v>807</v>
      </c>
      <c r="H979" s="31">
        <f>48+48/60</f>
        <v>48.8</v>
      </c>
      <c r="I979" s="31">
        <f>-111-38.5/60</f>
        <v>-111.64166666666667</v>
      </c>
      <c r="J979" s="31">
        <v>1102</v>
      </c>
      <c r="P979" s="56" t="s">
        <v>179</v>
      </c>
      <c r="Q979" s="56"/>
      <c r="R979" s="56" t="s">
        <v>815</v>
      </c>
      <c r="S979" s="56" t="s">
        <v>1667</v>
      </c>
      <c r="T979" s="56" t="s">
        <v>1682</v>
      </c>
      <c r="X979" s="31" t="s">
        <v>175</v>
      </c>
      <c r="Y979" s="31">
        <v>6.9</v>
      </c>
      <c r="Z979" s="31">
        <v>1.22</v>
      </c>
      <c r="AB979" s="31" t="s">
        <v>1577</v>
      </c>
      <c r="AC979" s="31" t="s">
        <v>1823</v>
      </c>
      <c r="AD979" s="153" t="str">
        <f t="shared" si="238"/>
        <v>Semileafless_pea</v>
      </c>
      <c r="AE979" s="31" t="s">
        <v>1636</v>
      </c>
      <c r="AK979" s="31" t="s">
        <v>203</v>
      </c>
      <c r="AM979" s="31">
        <v>0</v>
      </c>
      <c r="AN979" s="31">
        <v>0</v>
      </c>
      <c r="AO979" s="31" t="s">
        <v>230</v>
      </c>
      <c r="AP979" s="31" t="s">
        <v>154</v>
      </c>
      <c r="AQ979" s="31">
        <v>8</v>
      </c>
      <c r="AR979" s="31">
        <v>8</v>
      </c>
      <c r="AS979" s="31" t="s">
        <v>177</v>
      </c>
      <c r="AU979" s="31">
        <v>1090</v>
      </c>
      <c r="AV979" s="31">
        <f>AU979/28.4</f>
        <v>38.380281690140848</v>
      </c>
      <c r="AW979" s="68" t="s">
        <v>813</v>
      </c>
      <c r="BK979" s="31">
        <f>17</f>
        <v>17</v>
      </c>
      <c r="BL979" s="31">
        <f>8</f>
        <v>8</v>
      </c>
      <c r="BM979" s="31" t="s">
        <v>818</v>
      </c>
      <c r="DG979" s="31">
        <f>52/3</f>
        <v>17.333333333333332</v>
      </c>
      <c r="DH979" s="31">
        <f>37/3</f>
        <v>12.333333333333334</v>
      </c>
      <c r="DI979" s="31" t="s">
        <v>847</v>
      </c>
      <c r="FA979" s="31" t="s">
        <v>820</v>
      </c>
      <c r="FB979" s="31" t="s">
        <v>819</v>
      </c>
      <c r="FC979" s="31">
        <v>46</v>
      </c>
    </row>
    <row r="980" spans="1:159" s="31" customFormat="1" x14ac:dyDescent="0.25">
      <c r="A980" s="31">
        <v>46</v>
      </c>
      <c r="B980" s="31" t="s">
        <v>803</v>
      </c>
      <c r="C980" s="31" t="s">
        <v>802</v>
      </c>
      <c r="D980" s="31">
        <v>2013</v>
      </c>
      <c r="E980" s="31">
        <v>2009</v>
      </c>
      <c r="F980" s="31" t="s">
        <v>395</v>
      </c>
      <c r="G980" s="31" t="s">
        <v>808</v>
      </c>
      <c r="H980" s="31">
        <f>48+48/60</f>
        <v>48.8</v>
      </c>
      <c r="I980" s="31">
        <f>-111-31/60</f>
        <v>-111.51666666666667</v>
      </c>
      <c r="J980" s="31">
        <v>1090</v>
      </c>
      <c r="P980" s="56" t="s">
        <v>179</v>
      </c>
      <c r="Q980" s="56"/>
      <c r="R980" s="56" t="s">
        <v>815</v>
      </c>
      <c r="S980" s="56" t="s">
        <v>1667</v>
      </c>
      <c r="T980" s="56" t="s">
        <v>1682</v>
      </c>
      <c r="X980" s="31" t="s">
        <v>635</v>
      </c>
      <c r="Y980" s="31">
        <v>7.8</v>
      </c>
      <c r="Z980" s="31">
        <v>1.1000000000000001</v>
      </c>
      <c r="AB980" s="31" t="s">
        <v>1577</v>
      </c>
      <c r="AC980" s="31" t="s">
        <v>682</v>
      </c>
      <c r="AD980" s="153" t="str">
        <f t="shared" si="238"/>
        <v>Lentil</v>
      </c>
      <c r="AE980" s="31" t="s">
        <v>1636</v>
      </c>
      <c r="AK980" s="31" t="s">
        <v>203</v>
      </c>
      <c r="AM980" s="31">
        <v>0</v>
      </c>
      <c r="AN980" s="31">
        <v>0</v>
      </c>
      <c r="AO980" s="31" t="s">
        <v>230</v>
      </c>
      <c r="AP980" s="31" t="s">
        <v>154</v>
      </c>
      <c r="AQ980" s="31">
        <v>8</v>
      </c>
      <c r="AR980" s="31">
        <v>8</v>
      </c>
      <c r="AS980" s="31" t="s">
        <v>177</v>
      </c>
      <c r="AU980" s="31">
        <v>550</v>
      </c>
      <c r="AV980" s="31">
        <f>AU980/14.5</f>
        <v>37.931034482758619</v>
      </c>
      <c r="AW980" s="68" t="s">
        <v>814</v>
      </c>
      <c r="BK980" s="31">
        <f>2</f>
        <v>2</v>
      </c>
      <c r="BL980" s="31">
        <v>1</v>
      </c>
      <c r="BM980" s="31" t="s">
        <v>818</v>
      </c>
      <c r="DG980" s="31">
        <f>64/3</f>
        <v>21.333333333333332</v>
      </c>
      <c r="DH980" s="31">
        <f>41/3</f>
        <v>13.666666666666666</v>
      </c>
      <c r="DI980" s="31" t="s">
        <v>847</v>
      </c>
      <c r="FA980" s="31" t="s">
        <v>820</v>
      </c>
      <c r="FB980" s="31" t="s">
        <v>819</v>
      </c>
      <c r="FC980" s="31">
        <v>46</v>
      </c>
    </row>
    <row r="981" spans="1:159" s="38" customFormat="1" x14ac:dyDescent="0.25">
      <c r="A981" s="38">
        <v>46</v>
      </c>
      <c r="B981" s="38" t="s">
        <v>803</v>
      </c>
      <c r="C981" s="38" t="s">
        <v>802</v>
      </c>
      <c r="D981" s="38">
        <v>2013</v>
      </c>
      <c r="E981" s="38">
        <v>2009</v>
      </c>
      <c r="F981" s="38" t="s">
        <v>395</v>
      </c>
      <c r="G981" s="38" t="s">
        <v>804</v>
      </c>
      <c r="H981" s="38">
        <f>47+55/60</f>
        <v>47.916666666666664</v>
      </c>
      <c r="I981" s="38">
        <f>-109-55/60</f>
        <v>-109.91666666666667</v>
      </c>
      <c r="J981" s="38">
        <v>888</v>
      </c>
      <c r="P981" s="57" t="s">
        <v>179</v>
      </c>
      <c r="Q981" s="57"/>
      <c r="R981" s="57" t="s">
        <v>815</v>
      </c>
      <c r="S981" s="57" t="s">
        <v>1668</v>
      </c>
      <c r="T981" s="57" t="s">
        <v>1682</v>
      </c>
      <c r="X981" s="38" t="s">
        <v>635</v>
      </c>
      <c r="Y981" s="38">
        <v>6.1</v>
      </c>
      <c r="Z981" s="38">
        <v>1.1000000000000001</v>
      </c>
      <c r="AB981" s="38" t="s">
        <v>1577</v>
      </c>
      <c r="AC981" s="38" t="s">
        <v>1823</v>
      </c>
      <c r="AD981" s="153" t="str">
        <f t="shared" si="238"/>
        <v>Semileafless_pea</v>
      </c>
      <c r="AE981" s="38" t="s">
        <v>1636</v>
      </c>
      <c r="AK981" s="38" t="s">
        <v>203</v>
      </c>
      <c r="AM981" s="38">
        <v>0</v>
      </c>
      <c r="AN981" s="38">
        <v>0</v>
      </c>
      <c r="AO981" s="38" t="s">
        <v>230</v>
      </c>
      <c r="AP981" s="38" t="s">
        <v>154</v>
      </c>
      <c r="AQ981" s="38">
        <v>6</v>
      </c>
      <c r="AR981" s="38">
        <v>6</v>
      </c>
      <c r="AS981" s="38" t="s">
        <v>177</v>
      </c>
      <c r="AU981" s="38">
        <f>1.07*1000</f>
        <v>1070</v>
      </c>
      <c r="AV981" s="38">
        <f>AU981/44.2</f>
        <v>24.20814479638009</v>
      </c>
      <c r="AW981" s="67" t="s">
        <v>810</v>
      </c>
      <c r="BK981" s="38">
        <v>9</v>
      </c>
      <c r="BL981" s="38">
        <v>4</v>
      </c>
      <c r="BM981" s="38" t="s">
        <v>818</v>
      </c>
      <c r="DG981" s="38">
        <f>54/3</f>
        <v>18</v>
      </c>
      <c r="DH981" s="38">
        <f>53/3</f>
        <v>17.666666666666668</v>
      </c>
      <c r="DI981" s="38" t="s">
        <v>847</v>
      </c>
      <c r="FA981" s="38" t="s">
        <v>820</v>
      </c>
      <c r="FB981" s="38" t="s">
        <v>819</v>
      </c>
      <c r="FC981" s="38">
        <v>46</v>
      </c>
    </row>
    <row r="982" spans="1:159" s="38" customFormat="1" x14ac:dyDescent="0.25">
      <c r="A982" s="38">
        <v>46</v>
      </c>
      <c r="B982" s="38" t="s">
        <v>803</v>
      </c>
      <c r="C982" s="38" t="s">
        <v>802</v>
      </c>
      <c r="D982" s="38">
        <v>2013</v>
      </c>
      <c r="E982" s="38">
        <v>2009</v>
      </c>
      <c r="F982" s="38" t="s">
        <v>395</v>
      </c>
      <c r="G982" s="38" t="s">
        <v>805</v>
      </c>
      <c r="H982" s="38">
        <f>48+18/60</f>
        <v>48.3</v>
      </c>
      <c r="I982" s="38">
        <f>-110-6/60</f>
        <v>-110.1</v>
      </c>
      <c r="J982" s="38">
        <v>833</v>
      </c>
      <c r="P982" s="57" t="s">
        <v>179</v>
      </c>
      <c r="Q982" s="57"/>
      <c r="R982" s="57" t="s">
        <v>815</v>
      </c>
      <c r="S982" s="57" t="s">
        <v>1668</v>
      </c>
      <c r="T982" s="57" t="s">
        <v>1682</v>
      </c>
      <c r="X982" s="38" t="s">
        <v>175</v>
      </c>
      <c r="Y982" s="38">
        <v>6.9</v>
      </c>
      <c r="Z982" s="38">
        <v>0.87</v>
      </c>
      <c r="AB982" s="38" t="s">
        <v>1577</v>
      </c>
      <c r="AC982" s="38" t="s">
        <v>1824</v>
      </c>
      <c r="AD982" s="153" t="str">
        <f t="shared" si="238"/>
        <v>Forage_pea</v>
      </c>
      <c r="AE982" s="38" t="s">
        <v>1636</v>
      </c>
      <c r="AK982" s="38" t="s">
        <v>203</v>
      </c>
      <c r="AM982" s="38">
        <v>0</v>
      </c>
      <c r="AN982" s="38">
        <v>0</v>
      </c>
      <c r="AO982" s="38" t="s">
        <v>230</v>
      </c>
      <c r="AP982" s="38" t="s">
        <v>154</v>
      </c>
      <c r="AQ982" s="38">
        <v>8</v>
      </c>
      <c r="AR982" s="38">
        <v>8</v>
      </c>
      <c r="AS982" s="38" t="s">
        <v>177</v>
      </c>
      <c r="AU982" s="38">
        <v>730</v>
      </c>
      <c r="AV982" s="38">
        <f>AU982/19.3</f>
        <v>37.823834196891191</v>
      </c>
      <c r="AW982" s="67" t="s">
        <v>811</v>
      </c>
      <c r="BK982" s="38">
        <v>14</v>
      </c>
      <c r="BL982" s="38">
        <v>13</v>
      </c>
      <c r="BM982" s="38" t="s">
        <v>818</v>
      </c>
      <c r="DG982" s="38">
        <f>44/3</f>
        <v>14.666666666666666</v>
      </c>
      <c r="DH982" s="38">
        <f>40/3</f>
        <v>13.333333333333334</v>
      </c>
      <c r="DI982" s="38" t="s">
        <v>847</v>
      </c>
      <c r="FA982" s="38" t="s">
        <v>820</v>
      </c>
      <c r="FB982" s="38" t="s">
        <v>819</v>
      </c>
      <c r="FC982" s="38">
        <v>46</v>
      </c>
    </row>
    <row r="983" spans="1:159" s="38" customFormat="1" x14ac:dyDescent="0.25">
      <c r="A983" s="38">
        <v>46</v>
      </c>
      <c r="B983" s="38" t="s">
        <v>803</v>
      </c>
      <c r="C983" s="38" t="s">
        <v>802</v>
      </c>
      <c r="D983" s="38">
        <v>2013</v>
      </c>
      <c r="E983" s="38">
        <v>2009</v>
      </c>
      <c r="F983" s="38" t="s">
        <v>395</v>
      </c>
      <c r="G983" s="38" t="s">
        <v>806</v>
      </c>
      <c r="H983" s="38">
        <f>48+45/60</f>
        <v>48.75</v>
      </c>
      <c r="I983" s="38">
        <f>-110-52/60</f>
        <v>-110.86666666666666</v>
      </c>
      <c r="J983" s="38">
        <v>1059</v>
      </c>
      <c r="P983" s="57" t="s">
        <v>179</v>
      </c>
      <c r="Q983" s="57"/>
      <c r="R983" s="57" t="s">
        <v>815</v>
      </c>
      <c r="S983" s="57" t="s">
        <v>1668</v>
      </c>
      <c r="T983" s="57" t="s">
        <v>1682</v>
      </c>
      <c r="X983" s="38" t="s">
        <v>809</v>
      </c>
      <c r="Y983" s="38">
        <v>7.6</v>
      </c>
      <c r="Z983" s="38">
        <v>1.28</v>
      </c>
      <c r="AB983" s="38" t="s">
        <v>1577</v>
      </c>
      <c r="AC983" s="38" t="s">
        <v>1823</v>
      </c>
      <c r="AD983" s="153" t="str">
        <f t="shared" si="238"/>
        <v>Semileafless_pea</v>
      </c>
      <c r="AE983" s="38" t="s">
        <v>1636</v>
      </c>
      <c r="AK983" s="38" t="s">
        <v>203</v>
      </c>
      <c r="AM983" s="38">
        <v>0</v>
      </c>
      <c r="AN983" s="38">
        <v>0</v>
      </c>
      <c r="AO983" s="38" t="s">
        <v>230</v>
      </c>
      <c r="AP983" s="38" t="s">
        <v>154</v>
      </c>
      <c r="AQ983" s="38">
        <v>12</v>
      </c>
      <c r="AR983" s="38">
        <v>12</v>
      </c>
      <c r="AS983" s="38" t="s">
        <v>177</v>
      </c>
      <c r="AU983" s="38">
        <f>1.02*1000</f>
        <v>1020</v>
      </c>
      <c r="AV983" s="38">
        <f>AU983/37.8</f>
        <v>26.984126984126988</v>
      </c>
      <c r="AW983" s="67" t="s">
        <v>812</v>
      </c>
      <c r="BK983" s="38">
        <v>39</v>
      </c>
      <c r="BL983" s="38">
        <v>24</v>
      </c>
      <c r="BM983" s="38" t="s">
        <v>818</v>
      </c>
      <c r="DG983" s="38">
        <f>74/3</f>
        <v>24.666666666666668</v>
      </c>
      <c r="DH983" s="38">
        <f>72/3</f>
        <v>24</v>
      </c>
      <c r="DI983" s="38" t="s">
        <v>847</v>
      </c>
      <c r="FA983" s="38" t="s">
        <v>820</v>
      </c>
      <c r="FB983" s="38" t="s">
        <v>819</v>
      </c>
      <c r="FC983" s="38">
        <v>46</v>
      </c>
    </row>
    <row r="984" spans="1:159" s="38" customFormat="1" x14ac:dyDescent="0.25">
      <c r="A984" s="38">
        <v>46</v>
      </c>
      <c r="B984" s="38" t="s">
        <v>803</v>
      </c>
      <c r="C984" s="38" t="s">
        <v>802</v>
      </c>
      <c r="D984" s="38">
        <v>2013</v>
      </c>
      <c r="E984" s="38">
        <v>2009</v>
      </c>
      <c r="F984" s="38" t="s">
        <v>395</v>
      </c>
      <c r="G984" s="38" t="s">
        <v>807</v>
      </c>
      <c r="H984" s="38">
        <f>48+48/60</f>
        <v>48.8</v>
      </c>
      <c r="I984" s="38">
        <f>-111-38.5/60</f>
        <v>-111.64166666666667</v>
      </c>
      <c r="J984" s="38">
        <v>1102</v>
      </c>
      <c r="P984" s="57" t="s">
        <v>179</v>
      </c>
      <c r="Q984" s="57"/>
      <c r="R984" s="57" t="s">
        <v>815</v>
      </c>
      <c r="S984" s="57" t="s">
        <v>1668</v>
      </c>
      <c r="T984" s="57" t="s">
        <v>1682</v>
      </c>
      <c r="X984" s="38" t="s">
        <v>175</v>
      </c>
      <c r="Y984" s="38">
        <v>6.9</v>
      </c>
      <c r="Z984" s="38">
        <v>1.22</v>
      </c>
      <c r="AB984" s="38" t="s">
        <v>1577</v>
      </c>
      <c r="AC984" s="38" t="s">
        <v>1823</v>
      </c>
      <c r="AD984" s="153" t="str">
        <f t="shared" si="238"/>
        <v>Semileafless_pea</v>
      </c>
      <c r="AE984" s="38" t="s">
        <v>1636</v>
      </c>
      <c r="AK984" s="38" t="s">
        <v>203</v>
      </c>
      <c r="AM984" s="38">
        <v>0</v>
      </c>
      <c r="AN984" s="38">
        <v>0</v>
      </c>
      <c r="AO984" s="38" t="s">
        <v>230</v>
      </c>
      <c r="AP984" s="38" t="s">
        <v>154</v>
      </c>
      <c r="AQ984" s="38">
        <v>8</v>
      </c>
      <c r="AR984" s="38">
        <v>8</v>
      </c>
      <c r="AS984" s="38" t="s">
        <v>177</v>
      </c>
      <c r="AU984" s="38">
        <v>1090</v>
      </c>
      <c r="AV984" s="38">
        <f>AU984/28.4</f>
        <v>38.380281690140848</v>
      </c>
      <c r="AW984" s="67" t="s">
        <v>813</v>
      </c>
      <c r="BK984" s="38">
        <v>15</v>
      </c>
      <c r="BL984" s="38">
        <v>13</v>
      </c>
      <c r="BM984" s="38" t="s">
        <v>818</v>
      </c>
      <c r="DG984" s="38">
        <f>44/3</f>
        <v>14.666666666666666</v>
      </c>
      <c r="DH984" s="38">
        <f>36/3</f>
        <v>12</v>
      </c>
      <c r="DI984" s="38" t="s">
        <v>847</v>
      </c>
      <c r="FA984" s="38" t="s">
        <v>820</v>
      </c>
      <c r="FB984" s="38" t="s">
        <v>819</v>
      </c>
      <c r="FC984" s="38">
        <v>46</v>
      </c>
    </row>
    <row r="985" spans="1:159" s="38" customFormat="1" x14ac:dyDescent="0.25">
      <c r="A985" s="38">
        <v>46</v>
      </c>
      <c r="B985" s="38" t="s">
        <v>803</v>
      </c>
      <c r="C985" s="38" t="s">
        <v>802</v>
      </c>
      <c r="D985" s="38">
        <v>2013</v>
      </c>
      <c r="E985" s="38">
        <v>2009</v>
      </c>
      <c r="F985" s="38" t="s">
        <v>395</v>
      </c>
      <c r="G985" s="38" t="s">
        <v>808</v>
      </c>
      <c r="H985" s="38">
        <f>48+48/60</f>
        <v>48.8</v>
      </c>
      <c r="I985" s="38">
        <f>-111-31/60</f>
        <v>-111.51666666666667</v>
      </c>
      <c r="J985" s="38">
        <v>1090</v>
      </c>
      <c r="P985" s="57" t="s">
        <v>179</v>
      </c>
      <c r="Q985" s="57"/>
      <c r="R985" s="57" t="s">
        <v>815</v>
      </c>
      <c r="S985" s="57" t="s">
        <v>1668</v>
      </c>
      <c r="T985" s="57" t="s">
        <v>1682</v>
      </c>
      <c r="X985" s="38" t="s">
        <v>635</v>
      </c>
      <c r="Y985" s="38">
        <v>7.8</v>
      </c>
      <c r="Z985" s="38">
        <v>1.1000000000000001</v>
      </c>
      <c r="AB985" s="38" t="s">
        <v>1577</v>
      </c>
      <c r="AC985" s="38" t="s">
        <v>682</v>
      </c>
      <c r="AD985" s="153" t="str">
        <f t="shared" si="238"/>
        <v>Lentil</v>
      </c>
      <c r="AE985" s="38" t="s">
        <v>1636</v>
      </c>
      <c r="AK985" s="38" t="s">
        <v>203</v>
      </c>
      <c r="AM985" s="38">
        <v>0</v>
      </c>
      <c r="AN985" s="38">
        <v>0</v>
      </c>
      <c r="AO985" s="38" t="s">
        <v>230</v>
      </c>
      <c r="AP985" s="38" t="s">
        <v>154</v>
      </c>
      <c r="AQ985" s="38">
        <v>8</v>
      </c>
      <c r="AR985" s="38">
        <v>8</v>
      </c>
      <c r="AS985" s="38" t="s">
        <v>177</v>
      </c>
      <c r="AU985" s="38">
        <v>550</v>
      </c>
      <c r="AV985" s="38">
        <f>AU985/14.5</f>
        <v>37.931034482758619</v>
      </c>
      <c r="AW985" s="67" t="s">
        <v>814</v>
      </c>
      <c r="BK985" s="38">
        <v>2</v>
      </c>
      <c r="BL985" s="38">
        <v>2</v>
      </c>
      <c r="BM985" s="38" t="s">
        <v>818</v>
      </c>
      <c r="DG985" s="38">
        <f>61/3</f>
        <v>20.333333333333332</v>
      </c>
      <c r="DH985" s="38">
        <f>49/3</f>
        <v>16.333333333333332</v>
      </c>
      <c r="DI985" s="38" t="s">
        <v>847</v>
      </c>
      <c r="FA985" s="38" t="s">
        <v>820</v>
      </c>
      <c r="FB985" s="38" t="s">
        <v>819</v>
      </c>
      <c r="FC985" s="38">
        <v>46</v>
      </c>
    </row>
    <row r="986" spans="1:159" s="69" customFormat="1" x14ac:dyDescent="0.25">
      <c r="A986" s="69">
        <v>46</v>
      </c>
      <c r="B986" s="69" t="s">
        <v>803</v>
      </c>
      <c r="C986" s="69" t="s">
        <v>802</v>
      </c>
      <c r="D986" s="69">
        <v>2013</v>
      </c>
      <c r="E986" s="69">
        <v>2009</v>
      </c>
      <c r="F986" s="69" t="s">
        <v>395</v>
      </c>
      <c r="G986" s="69" t="s">
        <v>804</v>
      </c>
      <c r="H986" s="69">
        <f>47+55/60</f>
        <v>47.916666666666664</v>
      </c>
      <c r="I986" s="69">
        <f>-109-55/60</f>
        <v>-109.91666666666667</v>
      </c>
      <c r="J986" s="69">
        <v>888</v>
      </c>
      <c r="P986" s="70" t="s">
        <v>179</v>
      </c>
      <c r="Q986" s="70"/>
      <c r="R986" s="70" t="s">
        <v>816</v>
      </c>
      <c r="S986" s="70" t="s">
        <v>1654</v>
      </c>
      <c r="T986" s="70" t="s">
        <v>1682</v>
      </c>
      <c r="X986" s="69" t="s">
        <v>635</v>
      </c>
      <c r="Y986" s="69">
        <v>6.1</v>
      </c>
      <c r="Z986" s="69">
        <v>1.1000000000000001</v>
      </c>
      <c r="AB986" s="69" t="s">
        <v>1577</v>
      </c>
      <c r="AC986" s="69" t="s">
        <v>1823</v>
      </c>
      <c r="AD986" s="153" t="str">
        <f t="shared" si="238"/>
        <v>Semileafless_pea</v>
      </c>
      <c r="AE986" s="69" t="s">
        <v>1636</v>
      </c>
      <c r="AK986" s="69" t="s">
        <v>203</v>
      </c>
      <c r="AM986" s="69">
        <v>0</v>
      </c>
      <c r="AN986" s="69">
        <v>0</v>
      </c>
      <c r="AO986" s="69" t="s">
        <v>230</v>
      </c>
      <c r="AP986" s="69" t="s">
        <v>154</v>
      </c>
      <c r="AQ986" s="69">
        <v>6</v>
      </c>
      <c r="AR986" s="69">
        <v>6</v>
      </c>
      <c r="AS986" s="69" t="s">
        <v>177</v>
      </c>
      <c r="AU986" s="69">
        <f>1.07*1000</f>
        <v>1070</v>
      </c>
      <c r="AV986" s="69">
        <f>AU986/44.2</f>
        <v>24.20814479638009</v>
      </c>
      <c r="AW986" s="71" t="s">
        <v>810</v>
      </c>
      <c r="BK986" s="69">
        <v>47</v>
      </c>
      <c r="BL986" s="69">
        <v>26</v>
      </c>
      <c r="BM986" s="38" t="s">
        <v>818</v>
      </c>
      <c r="DG986" s="69">
        <f>64/3</f>
        <v>21.333333333333332</v>
      </c>
      <c r="DH986" s="69">
        <f>68/3</f>
        <v>22.666666666666668</v>
      </c>
      <c r="DI986" s="38" t="s">
        <v>847</v>
      </c>
      <c r="FA986" s="38" t="s">
        <v>820</v>
      </c>
      <c r="FB986" s="31" t="s">
        <v>819</v>
      </c>
      <c r="FC986" s="69">
        <v>46</v>
      </c>
    </row>
    <row r="987" spans="1:159" s="69" customFormat="1" x14ac:dyDescent="0.25">
      <c r="A987" s="69">
        <v>46</v>
      </c>
      <c r="B987" s="69" t="s">
        <v>803</v>
      </c>
      <c r="C987" s="69" t="s">
        <v>802</v>
      </c>
      <c r="D987" s="69">
        <v>2013</v>
      </c>
      <c r="E987" s="69">
        <v>2009</v>
      </c>
      <c r="F987" s="69" t="s">
        <v>395</v>
      </c>
      <c r="G987" s="69" t="s">
        <v>805</v>
      </c>
      <c r="H987" s="69">
        <f>48+18/60</f>
        <v>48.3</v>
      </c>
      <c r="I987" s="69">
        <f>-110-6/60</f>
        <v>-110.1</v>
      </c>
      <c r="J987" s="69">
        <v>833</v>
      </c>
      <c r="P987" s="70" t="s">
        <v>179</v>
      </c>
      <c r="Q987" s="70"/>
      <c r="R987" s="70" t="s">
        <v>816</v>
      </c>
      <c r="S987" s="70" t="s">
        <v>1654</v>
      </c>
      <c r="T987" s="70" t="s">
        <v>1682</v>
      </c>
      <c r="X987" s="69" t="s">
        <v>175</v>
      </c>
      <c r="Y987" s="69">
        <v>6.9</v>
      </c>
      <c r="Z987" s="69">
        <v>0.87</v>
      </c>
      <c r="AB987" s="69" t="s">
        <v>1577</v>
      </c>
      <c r="AC987" s="69" t="s">
        <v>1824</v>
      </c>
      <c r="AD987" s="153" t="str">
        <f t="shared" si="238"/>
        <v>Forage_pea</v>
      </c>
      <c r="AE987" s="69" t="s">
        <v>1636</v>
      </c>
      <c r="AK987" s="69" t="s">
        <v>203</v>
      </c>
      <c r="AM987" s="69">
        <v>0</v>
      </c>
      <c r="AN987" s="69">
        <v>0</v>
      </c>
      <c r="AO987" s="69" t="s">
        <v>230</v>
      </c>
      <c r="AP987" s="69" t="s">
        <v>154</v>
      </c>
      <c r="AQ987" s="69">
        <v>8</v>
      </c>
      <c r="AR987" s="69">
        <v>8</v>
      </c>
      <c r="AS987" s="69" t="s">
        <v>177</v>
      </c>
      <c r="AU987" s="69">
        <v>730</v>
      </c>
      <c r="AV987" s="69">
        <f>AU987/19.3</f>
        <v>37.823834196891191</v>
      </c>
      <c r="AW987" s="71" t="s">
        <v>811</v>
      </c>
      <c r="BK987" s="69">
        <v>29</v>
      </c>
      <c r="BL987" s="69">
        <v>15</v>
      </c>
      <c r="BM987" s="38" t="s">
        <v>818</v>
      </c>
      <c r="DG987" s="69">
        <f>56/3</f>
        <v>18.666666666666668</v>
      </c>
      <c r="DH987" s="69">
        <f>36/3</f>
        <v>12</v>
      </c>
      <c r="DI987" s="38" t="s">
        <v>847</v>
      </c>
      <c r="FA987" s="38" t="s">
        <v>820</v>
      </c>
      <c r="FB987" s="31" t="s">
        <v>819</v>
      </c>
      <c r="FC987" s="69">
        <v>46</v>
      </c>
    </row>
    <row r="988" spans="1:159" s="69" customFormat="1" x14ac:dyDescent="0.25">
      <c r="A988" s="69">
        <v>46</v>
      </c>
      <c r="B988" s="69" t="s">
        <v>803</v>
      </c>
      <c r="C988" s="69" t="s">
        <v>802</v>
      </c>
      <c r="D988" s="69">
        <v>2013</v>
      </c>
      <c r="E988" s="69">
        <v>2009</v>
      </c>
      <c r="F988" s="69" t="s">
        <v>395</v>
      </c>
      <c r="G988" s="69" t="s">
        <v>806</v>
      </c>
      <c r="H988" s="69">
        <f>48+45/60</f>
        <v>48.75</v>
      </c>
      <c r="I988" s="69">
        <f>-110-52/60</f>
        <v>-110.86666666666666</v>
      </c>
      <c r="J988" s="69">
        <v>1059</v>
      </c>
      <c r="P988" s="70" t="s">
        <v>179</v>
      </c>
      <c r="Q988" s="70"/>
      <c r="R988" s="70" t="s">
        <v>816</v>
      </c>
      <c r="S988" s="70" t="s">
        <v>1654</v>
      </c>
      <c r="T988" s="70" t="s">
        <v>1682</v>
      </c>
      <c r="X988" s="69" t="s">
        <v>809</v>
      </c>
      <c r="Y988" s="69">
        <v>7.6</v>
      </c>
      <c r="Z988" s="69">
        <v>1.28</v>
      </c>
      <c r="AB988" s="69" t="s">
        <v>1577</v>
      </c>
      <c r="AC988" s="69" t="s">
        <v>1823</v>
      </c>
      <c r="AD988" s="153" t="str">
        <f t="shared" si="238"/>
        <v>Semileafless_pea</v>
      </c>
      <c r="AE988" s="69" t="s">
        <v>1636</v>
      </c>
      <c r="AK988" s="69" t="s">
        <v>203</v>
      </c>
      <c r="AM988" s="69">
        <v>0</v>
      </c>
      <c r="AN988" s="69">
        <v>0</v>
      </c>
      <c r="AO988" s="69" t="s">
        <v>230</v>
      </c>
      <c r="AP988" s="69" t="s">
        <v>154</v>
      </c>
      <c r="AQ988" s="69">
        <v>12</v>
      </c>
      <c r="AR988" s="69">
        <v>12</v>
      </c>
      <c r="AS988" s="69" t="s">
        <v>177</v>
      </c>
      <c r="AU988" s="69">
        <f>1.02*1000</f>
        <v>1020</v>
      </c>
      <c r="AV988" s="69">
        <f>AU988/37.8</f>
        <v>26.984126984126988</v>
      </c>
      <c r="AW988" s="71" t="s">
        <v>812</v>
      </c>
      <c r="BK988" s="69">
        <v>24</v>
      </c>
      <c r="BL988" s="69">
        <v>19</v>
      </c>
      <c r="BM988" s="38" t="s">
        <v>818</v>
      </c>
      <c r="DG988" s="69">
        <f>64/3</f>
        <v>21.333333333333332</v>
      </c>
      <c r="DH988" s="69">
        <f>45/3</f>
        <v>15</v>
      </c>
      <c r="DI988" s="38" t="s">
        <v>847</v>
      </c>
      <c r="FA988" s="38" t="s">
        <v>820</v>
      </c>
      <c r="FB988" s="31" t="s">
        <v>819</v>
      </c>
      <c r="FC988" s="69">
        <v>46</v>
      </c>
    </row>
    <row r="989" spans="1:159" s="69" customFormat="1" x14ac:dyDescent="0.25">
      <c r="A989" s="69">
        <v>46</v>
      </c>
      <c r="B989" s="69" t="s">
        <v>803</v>
      </c>
      <c r="C989" s="69" t="s">
        <v>802</v>
      </c>
      <c r="D989" s="69">
        <v>2013</v>
      </c>
      <c r="E989" s="69">
        <v>2009</v>
      </c>
      <c r="F989" s="69" t="s">
        <v>395</v>
      </c>
      <c r="G989" s="69" t="s">
        <v>807</v>
      </c>
      <c r="H989" s="69">
        <f>48+48/60</f>
        <v>48.8</v>
      </c>
      <c r="I989" s="69">
        <f>-111-38.5/60</f>
        <v>-111.64166666666667</v>
      </c>
      <c r="J989" s="69">
        <v>1102</v>
      </c>
      <c r="P989" s="70" t="s">
        <v>179</v>
      </c>
      <c r="Q989" s="70"/>
      <c r="R989" s="70" t="s">
        <v>816</v>
      </c>
      <c r="S989" s="70" t="s">
        <v>1654</v>
      </c>
      <c r="T989" s="70" t="s">
        <v>1682</v>
      </c>
      <c r="X989" s="69" t="s">
        <v>175</v>
      </c>
      <c r="Y989" s="69">
        <v>6.9</v>
      </c>
      <c r="Z989" s="69">
        <v>1.22</v>
      </c>
      <c r="AB989" s="69" t="s">
        <v>1577</v>
      </c>
      <c r="AC989" s="69" t="s">
        <v>1823</v>
      </c>
      <c r="AD989" s="153" t="str">
        <f t="shared" si="238"/>
        <v>Semileafless_pea</v>
      </c>
      <c r="AE989" s="69" t="s">
        <v>1636</v>
      </c>
      <c r="AK989" s="69" t="s">
        <v>203</v>
      </c>
      <c r="AM989" s="69">
        <v>0</v>
      </c>
      <c r="AN989" s="69">
        <v>0</v>
      </c>
      <c r="AO989" s="69" t="s">
        <v>230</v>
      </c>
      <c r="AP989" s="69" t="s">
        <v>154</v>
      </c>
      <c r="AQ989" s="69">
        <v>8</v>
      </c>
      <c r="AR989" s="69">
        <v>8</v>
      </c>
      <c r="AS989" s="69" t="s">
        <v>177</v>
      </c>
      <c r="AU989" s="69">
        <v>1090</v>
      </c>
      <c r="AV989" s="69">
        <f>AU989/28.4</f>
        <v>38.380281690140848</v>
      </c>
      <c r="AW989" s="71" t="s">
        <v>813</v>
      </c>
      <c r="BK989" s="69">
        <v>54</v>
      </c>
      <c r="BL989" s="69">
        <v>23</v>
      </c>
      <c r="BM989" s="38" t="s">
        <v>818</v>
      </c>
      <c r="DG989" s="69">
        <f>80/3</f>
        <v>26.666666666666668</v>
      </c>
      <c r="DH989" s="69">
        <f>72/3</f>
        <v>24</v>
      </c>
      <c r="DI989" s="38" t="s">
        <v>847</v>
      </c>
      <c r="FA989" s="38" t="s">
        <v>820</v>
      </c>
      <c r="FB989" s="31" t="s">
        <v>819</v>
      </c>
      <c r="FC989" s="69">
        <v>46</v>
      </c>
    </row>
    <row r="990" spans="1:159" s="69" customFormat="1" x14ac:dyDescent="0.25">
      <c r="A990" s="69">
        <v>46</v>
      </c>
      <c r="B990" s="69" t="s">
        <v>803</v>
      </c>
      <c r="C990" s="69" t="s">
        <v>802</v>
      </c>
      <c r="D990" s="69">
        <v>2013</v>
      </c>
      <c r="E990" s="69">
        <v>2009</v>
      </c>
      <c r="F990" s="69" t="s">
        <v>395</v>
      </c>
      <c r="G990" s="69" t="s">
        <v>808</v>
      </c>
      <c r="H990" s="69">
        <f>48+48/60</f>
        <v>48.8</v>
      </c>
      <c r="I990" s="69">
        <f>-111-31/60</f>
        <v>-111.51666666666667</v>
      </c>
      <c r="J990" s="69">
        <v>1090</v>
      </c>
      <c r="P990" s="70" t="s">
        <v>179</v>
      </c>
      <c r="Q990" s="70"/>
      <c r="R990" s="70" t="s">
        <v>816</v>
      </c>
      <c r="S990" s="70" t="s">
        <v>1654</v>
      </c>
      <c r="T990" s="70" t="s">
        <v>1682</v>
      </c>
      <c r="X990" s="69" t="s">
        <v>635</v>
      </c>
      <c r="Y990" s="69">
        <v>7.8</v>
      </c>
      <c r="Z990" s="69">
        <v>1.1000000000000001</v>
      </c>
      <c r="AB990" s="69" t="s">
        <v>1577</v>
      </c>
      <c r="AC990" s="69" t="s">
        <v>682</v>
      </c>
      <c r="AD990" s="153" t="str">
        <f t="shared" si="238"/>
        <v>Lentil</v>
      </c>
      <c r="AE990" s="69" t="s">
        <v>1636</v>
      </c>
      <c r="AK990" s="69" t="s">
        <v>203</v>
      </c>
      <c r="AM990" s="69">
        <v>0</v>
      </c>
      <c r="AN990" s="69">
        <v>0</v>
      </c>
      <c r="AO990" s="69" t="s">
        <v>230</v>
      </c>
      <c r="AP990" s="69" t="s">
        <v>154</v>
      </c>
      <c r="AQ990" s="69">
        <v>8</v>
      </c>
      <c r="AR990" s="69">
        <v>8</v>
      </c>
      <c r="AS990" s="69" t="s">
        <v>177</v>
      </c>
      <c r="AU990" s="69">
        <v>550</v>
      </c>
      <c r="AV990" s="69">
        <f>AU990/14.5</f>
        <v>37.931034482758619</v>
      </c>
      <c r="AW990" s="71" t="s">
        <v>814</v>
      </c>
      <c r="BK990" s="69">
        <v>16</v>
      </c>
      <c r="BL990" s="69">
        <v>10</v>
      </c>
      <c r="BM990" s="38" t="s">
        <v>818</v>
      </c>
      <c r="DG990" s="69">
        <f>83/3</f>
        <v>27.666666666666668</v>
      </c>
      <c r="DH990" s="69">
        <f>73/3</f>
        <v>24.333333333333332</v>
      </c>
      <c r="DI990" s="38" t="s">
        <v>847</v>
      </c>
      <c r="FA990" s="38" t="s">
        <v>820</v>
      </c>
      <c r="FB990" s="31" t="s">
        <v>819</v>
      </c>
      <c r="FC990" s="69">
        <v>46</v>
      </c>
    </row>
    <row r="991" spans="1:159" s="72" customFormat="1" x14ac:dyDescent="0.25">
      <c r="A991" s="72">
        <v>46</v>
      </c>
      <c r="B991" s="72" t="s">
        <v>803</v>
      </c>
      <c r="C991" s="72" t="s">
        <v>802</v>
      </c>
      <c r="D991" s="72">
        <v>2013</v>
      </c>
      <c r="E991" s="72">
        <v>2009</v>
      </c>
      <c r="F991" s="72" t="s">
        <v>395</v>
      </c>
      <c r="G991" s="72" t="s">
        <v>804</v>
      </c>
      <c r="H991" s="72">
        <f>47+55/60</f>
        <v>47.916666666666664</v>
      </c>
      <c r="I991" s="72">
        <f>-109-55/60</f>
        <v>-109.91666666666667</v>
      </c>
      <c r="J991" s="72">
        <v>888</v>
      </c>
      <c r="P991" s="73" t="s">
        <v>179</v>
      </c>
      <c r="Q991" s="73"/>
      <c r="R991" s="73" t="s">
        <v>816</v>
      </c>
      <c r="S991" s="73" t="s">
        <v>1667</v>
      </c>
      <c r="T991" s="73" t="s">
        <v>1682</v>
      </c>
      <c r="X991" s="72" t="s">
        <v>635</v>
      </c>
      <c r="Y991" s="72">
        <v>6.1</v>
      </c>
      <c r="Z991" s="72">
        <v>1.1000000000000001</v>
      </c>
      <c r="AB991" s="72" t="s">
        <v>1577</v>
      </c>
      <c r="AC991" s="72" t="s">
        <v>1823</v>
      </c>
      <c r="AD991" s="153" t="str">
        <f t="shared" si="238"/>
        <v>Semileafless_pea</v>
      </c>
      <c r="AE991" s="72" t="s">
        <v>1636</v>
      </c>
      <c r="AK991" s="72" t="s">
        <v>203</v>
      </c>
      <c r="AM991" s="72">
        <v>0</v>
      </c>
      <c r="AN991" s="72">
        <v>0</v>
      </c>
      <c r="AO991" s="72" t="s">
        <v>230</v>
      </c>
      <c r="AP991" s="72" t="s">
        <v>154</v>
      </c>
      <c r="AQ991" s="72">
        <v>6</v>
      </c>
      <c r="AR991" s="72">
        <v>6</v>
      </c>
      <c r="AS991" s="72" t="s">
        <v>177</v>
      </c>
      <c r="AU991" s="72">
        <f>1.07*1000</f>
        <v>1070</v>
      </c>
      <c r="AV991" s="72">
        <f>AU991/44.2</f>
        <v>24.20814479638009</v>
      </c>
      <c r="AW991" s="74" t="s">
        <v>810</v>
      </c>
      <c r="BK991" s="72">
        <v>20</v>
      </c>
      <c r="BL991" s="72">
        <v>14</v>
      </c>
      <c r="BM991" s="72" t="s">
        <v>818</v>
      </c>
      <c r="DG991" s="72">
        <f>67/3</f>
        <v>22.333333333333332</v>
      </c>
      <c r="DH991" s="72">
        <f>68/3</f>
        <v>22.666666666666668</v>
      </c>
      <c r="DI991" s="72" t="s">
        <v>847</v>
      </c>
      <c r="FA991" s="72" t="s">
        <v>820</v>
      </c>
      <c r="FB991" s="38" t="s">
        <v>819</v>
      </c>
      <c r="FC991" s="72">
        <v>46</v>
      </c>
    </row>
    <row r="992" spans="1:159" s="72" customFormat="1" x14ac:dyDescent="0.25">
      <c r="A992" s="72">
        <v>46</v>
      </c>
      <c r="B992" s="72" t="s">
        <v>803</v>
      </c>
      <c r="C992" s="72" t="s">
        <v>802</v>
      </c>
      <c r="D992" s="72">
        <v>2013</v>
      </c>
      <c r="E992" s="72">
        <v>2009</v>
      </c>
      <c r="F992" s="72" t="s">
        <v>395</v>
      </c>
      <c r="G992" s="72" t="s">
        <v>805</v>
      </c>
      <c r="H992" s="72">
        <f>48+18/60</f>
        <v>48.3</v>
      </c>
      <c r="I992" s="72">
        <f>-110-6/60</f>
        <v>-110.1</v>
      </c>
      <c r="J992" s="72">
        <v>833</v>
      </c>
      <c r="P992" s="73" t="s">
        <v>179</v>
      </c>
      <c r="Q992" s="73"/>
      <c r="R992" s="73" t="s">
        <v>816</v>
      </c>
      <c r="S992" s="73" t="s">
        <v>1667</v>
      </c>
      <c r="T992" s="73" t="s">
        <v>1682</v>
      </c>
      <c r="X992" s="72" t="s">
        <v>175</v>
      </c>
      <c r="Y992" s="72">
        <v>6.9</v>
      </c>
      <c r="Z992" s="72">
        <v>0.87</v>
      </c>
      <c r="AB992" s="72" t="s">
        <v>1577</v>
      </c>
      <c r="AC992" s="72" t="s">
        <v>1824</v>
      </c>
      <c r="AD992" s="153" t="str">
        <f t="shared" si="238"/>
        <v>Forage_pea</v>
      </c>
      <c r="AE992" s="72" t="s">
        <v>1636</v>
      </c>
      <c r="AK992" s="72" t="s">
        <v>203</v>
      </c>
      <c r="AM992" s="72">
        <v>0</v>
      </c>
      <c r="AN992" s="72">
        <v>0</v>
      </c>
      <c r="AO992" s="72" t="s">
        <v>230</v>
      </c>
      <c r="AP992" s="72" t="s">
        <v>154</v>
      </c>
      <c r="AQ992" s="72">
        <v>8</v>
      </c>
      <c r="AR992" s="72">
        <v>8</v>
      </c>
      <c r="AS992" s="72" t="s">
        <v>177</v>
      </c>
      <c r="AU992" s="72">
        <v>730</v>
      </c>
      <c r="AV992" s="72">
        <f>AU992/19.3</f>
        <v>37.823834196891191</v>
      </c>
      <c r="AW992" s="74" t="s">
        <v>811</v>
      </c>
      <c r="BK992" s="72">
        <v>7</v>
      </c>
      <c r="BL992" s="72">
        <v>5</v>
      </c>
      <c r="BM992" s="72" t="s">
        <v>818</v>
      </c>
      <c r="DG992" s="72">
        <f>54/3</f>
        <v>18</v>
      </c>
      <c r="DH992" s="72">
        <f>39/3</f>
        <v>13</v>
      </c>
      <c r="DI992" s="72" t="s">
        <v>847</v>
      </c>
      <c r="FA992" s="72" t="s">
        <v>820</v>
      </c>
      <c r="FB992" s="38" t="s">
        <v>819</v>
      </c>
      <c r="FC992" s="72">
        <v>46</v>
      </c>
    </row>
    <row r="993" spans="1:159" s="72" customFormat="1" x14ac:dyDescent="0.25">
      <c r="A993" s="72">
        <v>46</v>
      </c>
      <c r="B993" s="72" t="s">
        <v>803</v>
      </c>
      <c r="C993" s="72" t="s">
        <v>802</v>
      </c>
      <c r="D993" s="72">
        <v>2013</v>
      </c>
      <c r="E993" s="72">
        <v>2009</v>
      </c>
      <c r="F993" s="72" t="s">
        <v>395</v>
      </c>
      <c r="G993" s="72" t="s">
        <v>806</v>
      </c>
      <c r="H993" s="72">
        <f>48+45/60</f>
        <v>48.75</v>
      </c>
      <c r="I993" s="72">
        <f>-110-52/60</f>
        <v>-110.86666666666666</v>
      </c>
      <c r="J993" s="72">
        <v>1059</v>
      </c>
      <c r="P993" s="73" t="s">
        <v>179</v>
      </c>
      <c r="Q993" s="73"/>
      <c r="R993" s="73" t="s">
        <v>816</v>
      </c>
      <c r="S993" s="73" t="s">
        <v>1667</v>
      </c>
      <c r="T993" s="73" t="s">
        <v>1682</v>
      </c>
      <c r="X993" s="72" t="s">
        <v>809</v>
      </c>
      <c r="Y993" s="72">
        <v>7.6</v>
      </c>
      <c r="Z993" s="72">
        <v>1.28</v>
      </c>
      <c r="AB993" s="72" t="s">
        <v>1577</v>
      </c>
      <c r="AC993" s="72" t="s">
        <v>1823</v>
      </c>
      <c r="AD993" s="153" t="str">
        <f t="shared" si="238"/>
        <v>Semileafless_pea</v>
      </c>
      <c r="AE993" s="72" t="s">
        <v>1636</v>
      </c>
      <c r="AK993" s="72" t="s">
        <v>203</v>
      </c>
      <c r="AM993" s="72">
        <v>0</v>
      </c>
      <c r="AN993" s="72">
        <v>0</v>
      </c>
      <c r="AO993" s="72" t="s">
        <v>230</v>
      </c>
      <c r="AP993" s="72" t="s">
        <v>154</v>
      </c>
      <c r="AQ993" s="72">
        <v>12</v>
      </c>
      <c r="AR993" s="72">
        <v>12</v>
      </c>
      <c r="AS993" s="72" t="s">
        <v>177</v>
      </c>
      <c r="AU993" s="72">
        <f>1.02*1000</f>
        <v>1020</v>
      </c>
      <c r="AV993" s="72">
        <f>AU993/37.8</f>
        <v>26.984126984126988</v>
      </c>
      <c r="AW993" s="74" t="s">
        <v>812</v>
      </c>
      <c r="BK993" s="72">
        <v>11</v>
      </c>
      <c r="BL993" s="72">
        <v>7</v>
      </c>
      <c r="BM993" s="72" t="s">
        <v>818</v>
      </c>
      <c r="DG993" s="72">
        <f>74/3</f>
        <v>24.666666666666668</v>
      </c>
      <c r="DH993" s="72">
        <f>61/3</f>
        <v>20.333333333333332</v>
      </c>
      <c r="DI993" s="72" t="s">
        <v>847</v>
      </c>
      <c r="FA993" s="72" t="s">
        <v>820</v>
      </c>
      <c r="FB993" s="38" t="s">
        <v>819</v>
      </c>
      <c r="FC993" s="72">
        <v>46</v>
      </c>
    </row>
    <row r="994" spans="1:159" s="72" customFormat="1" x14ac:dyDescent="0.25">
      <c r="A994" s="72">
        <v>46</v>
      </c>
      <c r="B994" s="72" t="s">
        <v>803</v>
      </c>
      <c r="C994" s="72" t="s">
        <v>802</v>
      </c>
      <c r="D994" s="72">
        <v>2013</v>
      </c>
      <c r="E994" s="72">
        <v>2009</v>
      </c>
      <c r="F994" s="72" t="s">
        <v>395</v>
      </c>
      <c r="G994" s="72" t="s">
        <v>807</v>
      </c>
      <c r="H994" s="72">
        <f>48+48/60</f>
        <v>48.8</v>
      </c>
      <c r="I994" s="72">
        <f>-111-38.5/60</f>
        <v>-111.64166666666667</v>
      </c>
      <c r="J994" s="72">
        <v>1102</v>
      </c>
      <c r="P994" s="73" t="s">
        <v>179</v>
      </c>
      <c r="Q994" s="73"/>
      <c r="R994" s="73" t="s">
        <v>816</v>
      </c>
      <c r="S994" s="73" t="s">
        <v>1667</v>
      </c>
      <c r="T994" s="73" t="s">
        <v>1682</v>
      </c>
      <c r="X994" s="72" t="s">
        <v>175</v>
      </c>
      <c r="Y994" s="72">
        <v>6.9</v>
      </c>
      <c r="Z994" s="72">
        <v>1.22</v>
      </c>
      <c r="AB994" s="72" t="s">
        <v>1577</v>
      </c>
      <c r="AC994" s="72" t="s">
        <v>1823</v>
      </c>
      <c r="AD994" s="153" t="str">
        <f t="shared" si="238"/>
        <v>Semileafless_pea</v>
      </c>
      <c r="AE994" s="72" t="s">
        <v>1636</v>
      </c>
      <c r="AK994" s="72" t="s">
        <v>203</v>
      </c>
      <c r="AM994" s="72">
        <v>0</v>
      </c>
      <c r="AN994" s="72">
        <v>0</v>
      </c>
      <c r="AO994" s="72" t="s">
        <v>230</v>
      </c>
      <c r="AP994" s="72" t="s">
        <v>154</v>
      </c>
      <c r="AQ994" s="72">
        <v>8</v>
      </c>
      <c r="AR994" s="72">
        <v>8</v>
      </c>
      <c r="AS994" s="72" t="s">
        <v>177</v>
      </c>
      <c r="AU994" s="72">
        <v>1090</v>
      </c>
      <c r="AV994" s="72">
        <f>AU994/28.4</f>
        <v>38.380281690140848</v>
      </c>
      <c r="AW994" s="74" t="s">
        <v>813</v>
      </c>
      <c r="BK994" s="72">
        <v>24</v>
      </c>
      <c r="BL994" s="72">
        <v>7</v>
      </c>
      <c r="BM994" s="72" t="s">
        <v>818</v>
      </c>
      <c r="DG994" s="72">
        <f>58/3</f>
        <v>19.333333333333332</v>
      </c>
      <c r="DH994" s="72">
        <f>41/3</f>
        <v>13.666666666666666</v>
      </c>
      <c r="DI994" s="72" t="s">
        <v>847</v>
      </c>
      <c r="FA994" s="72" t="s">
        <v>820</v>
      </c>
      <c r="FB994" s="38" t="s">
        <v>819</v>
      </c>
      <c r="FC994" s="72">
        <v>46</v>
      </c>
    </row>
    <row r="995" spans="1:159" s="72" customFormat="1" x14ac:dyDescent="0.25">
      <c r="A995" s="72">
        <v>46</v>
      </c>
      <c r="B995" s="72" t="s">
        <v>803</v>
      </c>
      <c r="C995" s="72" t="s">
        <v>802</v>
      </c>
      <c r="D995" s="72">
        <v>2013</v>
      </c>
      <c r="E995" s="72">
        <v>2009</v>
      </c>
      <c r="F995" s="72" t="s">
        <v>395</v>
      </c>
      <c r="G995" s="72" t="s">
        <v>808</v>
      </c>
      <c r="H995" s="72">
        <f>48+48/60</f>
        <v>48.8</v>
      </c>
      <c r="I995" s="72">
        <f>-111-31/60</f>
        <v>-111.51666666666667</v>
      </c>
      <c r="J995" s="72">
        <v>1090</v>
      </c>
      <c r="P995" s="73" t="s">
        <v>179</v>
      </c>
      <c r="Q995" s="73"/>
      <c r="R995" s="73" t="s">
        <v>816</v>
      </c>
      <c r="S995" s="73" t="s">
        <v>1667</v>
      </c>
      <c r="T995" s="73" t="s">
        <v>1682</v>
      </c>
      <c r="X995" s="72" t="s">
        <v>635</v>
      </c>
      <c r="Y995" s="72">
        <v>7.8</v>
      </c>
      <c r="Z995" s="72">
        <v>1.1000000000000001</v>
      </c>
      <c r="AB995" s="72" t="s">
        <v>1577</v>
      </c>
      <c r="AC995" s="72" t="s">
        <v>682</v>
      </c>
      <c r="AD995" s="153" t="str">
        <f t="shared" si="238"/>
        <v>Lentil</v>
      </c>
      <c r="AE995" s="72" t="s">
        <v>1636</v>
      </c>
      <c r="AK995" s="72" t="s">
        <v>203</v>
      </c>
      <c r="AM995" s="72">
        <v>0</v>
      </c>
      <c r="AN995" s="72">
        <v>0</v>
      </c>
      <c r="AO995" s="72" t="s">
        <v>230</v>
      </c>
      <c r="AP995" s="72" t="s">
        <v>154</v>
      </c>
      <c r="AQ995" s="72">
        <v>8</v>
      </c>
      <c r="AR995" s="72">
        <v>8</v>
      </c>
      <c r="AS995" s="72" t="s">
        <v>177</v>
      </c>
      <c r="AU995" s="72">
        <v>550</v>
      </c>
      <c r="AV995" s="72">
        <f>AU995/14.5</f>
        <v>37.931034482758619</v>
      </c>
      <c r="AW995" s="74" t="s">
        <v>814</v>
      </c>
      <c r="BK995" s="72">
        <v>6</v>
      </c>
      <c r="BL995" s="72">
        <v>4</v>
      </c>
      <c r="BM995" s="72" t="s">
        <v>818</v>
      </c>
      <c r="DG995" s="72">
        <f>72/3</f>
        <v>24</v>
      </c>
      <c r="DH995" s="72">
        <f>54/3</f>
        <v>18</v>
      </c>
      <c r="DI995" s="72" t="s">
        <v>847</v>
      </c>
      <c r="FA995" s="72" t="s">
        <v>820</v>
      </c>
      <c r="FB995" s="38" t="s">
        <v>819</v>
      </c>
      <c r="FC995" s="72">
        <v>46</v>
      </c>
    </row>
    <row r="996" spans="1:159" s="69" customFormat="1" x14ac:dyDescent="0.25">
      <c r="A996" s="69">
        <v>46</v>
      </c>
      <c r="B996" s="69" t="s">
        <v>803</v>
      </c>
      <c r="C996" s="69" t="s">
        <v>802</v>
      </c>
      <c r="D996" s="69">
        <v>2013</v>
      </c>
      <c r="E996" s="69">
        <v>2009</v>
      </c>
      <c r="F996" s="69" t="s">
        <v>395</v>
      </c>
      <c r="G996" s="69" t="s">
        <v>804</v>
      </c>
      <c r="H996" s="69">
        <f>47+55/60</f>
        <v>47.916666666666664</v>
      </c>
      <c r="I996" s="69">
        <f>-109-55/60</f>
        <v>-109.91666666666667</v>
      </c>
      <c r="J996" s="69">
        <v>888</v>
      </c>
      <c r="P996" s="70" t="s">
        <v>179</v>
      </c>
      <c r="Q996" s="70"/>
      <c r="R996" s="70" t="s">
        <v>816</v>
      </c>
      <c r="S996" s="70" t="s">
        <v>1668</v>
      </c>
      <c r="T996" s="70" t="s">
        <v>1682</v>
      </c>
      <c r="X996" s="69" t="s">
        <v>635</v>
      </c>
      <c r="Y996" s="69">
        <v>6.1</v>
      </c>
      <c r="Z996" s="69">
        <v>1.1000000000000001</v>
      </c>
      <c r="AB996" s="69" t="s">
        <v>1577</v>
      </c>
      <c r="AC996" s="69" t="s">
        <v>1823</v>
      </c>
      <c r="AD996" s="153" t="str">
        <f t="shared" si="238"/>
        <v>Semileafless_pea</v>
      </c>
      <c r="AE996" s="69" t="s">
        <v>1636</v>
      </c>
      <c r="AK996" s="69" t="s">
        <v>203</v>
      </c>
      <c r="AM996" s="69">
        <v>0</v>
      </c>
      <c r="AN996" s="69">
        <v>0</v>
      </c>
      <c r="AO996" s="69" t="s">
        <v>230</v>
      </c>
      <c r="AP996" s="69" t="s">
        <v>154</v>
      </c>
      <c r="AQ996" s="69">
        <v>6</v>
      </c>
      <c r="AR996" s="69">
        <v>6</v>
      </c>
      <c r="AS996" s="69" t="s">
        <v>177</v>
      </c>
      <c r="AU996" s="69">
        <f>1.07*1000</f>
        <v>1070</v>
      </c>
      <c r="AV996" s="69">
        <f>AU996/44.2</f>
        <v>24.20814479638009</v>
      </c>
      <c r="AW996" s="71" t="s">
        <v>810</v>
      </c>
      <c r="BK996" s="69">
        <v>10</v>
      </c>
      <c r="BL996" s="69">
        <v>7</v>
      </c>
      <c r="BM996" s="69" t="s">
        <v>818</v>
      </c>
      <c r="DG996" s="69">
        <f>62/3</f>
        <v>20.666666666666668</v>
      </c>
      <c r="DH996" s="69">
        <f>63/3</f>
        <v>21</v>
      </c>
      <c r="DI996" s="38" t="s">
        <v>847</v>
      </c>
      <c r="FA996" s="69" t="s">
        <v>820</v>
      </c>
      <c r="FB996" s="31" t="s">
        <v>819</v>
      </c>
      <c r="FC996" s="69">
        <v>46</v>
      </c>
    </row>
    <row r="997" spans="1:159" s="69" customFormat="1" x14ac:dyDescent="0.25">
      <c r="A997" s="69">
        <v>46</v>
      </c>
      <c r="B997" s="69" t="s">
        <v>803</v>
      </c>
      <c r="C997" s="69" t="s">
        <v>802</v>
      </c>
      <c r="D997" s="69">
        <v>2013</v>
      </c>
      <c r="E997" s="69">
        <v>2009</v>
      </c>
      <c r="F997" s="69" t="s">
        <v>395</v>
      </c>
      <c r="G997" s="69" t="s">
        <v>805</v>
      </c>
      <c r="H997" s="69">
        <f>48+18/60</f>
        <v>48.3</v>
      </c>
      <c r="I997" s="69">
        <f>-110-6/60</f>
        <v>-110.1</v>
      </c>
      <c r="J997" s="69">
        <v>833</v>
      </c>
      <c r="P997" s="70" t="s">
        <v>179</v>
      </c>
      <c r="Q997" s="70"/>
      <c r="R997" s="70" t="s">
        <v>816</v>
      </c>
      <c r="S997" s="70" t="s">
        <v>1668</v>
      </c>
      <c r="T997" s="70" t="s">
        <v>1682</v>
      </c>
      <c r="X997" s="69" t="s">
        <v>175</v>
      </c>
      <c r="Y997" s="69">
        <v>6.9</v>
      </c>
      <c r="Z997" s="69">
        <v>0.87</v>
      </c>
      <c r="AB997" s="69" t="s">
        <v>1577</v>
      </c>
      <c r="AC997" s="69" t="s">
        <v>1824</v>
      </c>
      <c r="AD997" s="153" t="str">
        <f t="shared" si="238"/>
        <v>Forage_pea</v>
      </c>
      <c r="AE997" s="69" t="s">
        <v>1636</v>
      </c>
      <c r="AK997" s="69" t="s">
        <v>203</v>
      </c>
      <c r="AM997" s="69">
        <v>0</v>
      </c>
      <c r="AN997" s="69">
        <v>0</v>
      </c>
      <c r="AO997" s="69" t="s">
        <v>230</v>
      </c>
      <c r="AP997" s="69" t="s">
        <v>154</v>
      </c>
      <c r="AQ997" s="69">
        <v>8</v>
      </c>
      <c r="AR997" s="69">
        <v>8</v>
      </c>
      <c r="AS997" s="69" t="s">
        <v>177</v>
      </c>
      <c r="AU997" s="69">
        <v>730</v>
      </c>
      <c r="AV997" s="69">
        <f>AU997/19.3</f>
        <v>37.823834196891191</v>
      </c>
      <c r="AW997" s="71" t="s">
        <v>811</v>
      </c>
      <c r="BK997" s="69">
        <v>24</v>
      </c>
      <c r="BL997" s="69">
        <v>18</v>
      </c>
      <c r="BM997" s="69" t="s">
        <v>818</v>
      </c>
      <c r="DG997" s="69">
        <f>49/3</f>
        <v>16.333333333333332</v>
      </c>
      <c r="DH997" s="69">
        <f>46/3</f>
        <v>15.333333333333334</v>
      </c>
      <c r="DI997" s="38" t="s">
        <v>847</v>
      </c>
      <c r="FA997" s="69" t="s">
        <v>820</v>
      </c>
      <c r="FB997" s="31" t="s">
        <v>819</v>
      </c>
      <c r="FC997" s="69">
        <v>46</v>
      </c>
    </row>
    <row r="998" spans="1:159" s="69" customFormat="1" x14ac:dyDescent="0.25">
      <c r="A998" s="69">
        <v>46</v>
      </c>
      <c r="B998" s="69" t="s">
        <v>803</v>
      </c>
      <c r="C998" s="69" t="s">
        <v>802</v>
      </c>
      <c r="D998" s="69">
        <v>2013</v>
      </c>
      <c r="E998" s="69">
        <v>2009</v>
      </c>
      <c r="F998" s="69" t="s">
        <v>395</v>
      </c>
      <c r="G998" s="69" t="s">
        <v>806</v>
      </c>
      <c r="H998" s="69">
        <f>48+45/60</f>
        <v>48.75</v>
      </c>
      <c r="I998" s="69">
        <f>-110-52/60</f>
        <v>-110.86666666666666</v>
      </c>
      <c r="J998" s="69">
        <v>1059</v>
      </c>
      <c r="P998" s="70" t="s">
        <v>179</v>
      </c>
      <c r="Q998" s="70"/>
      <c r="R998" s="70" t="s">
        <v>816</v>
      </c>
      <c r="S998" s="70" t="s">
        <v>1668</v>
      </c>
      <c r="T998" s="70" t="s">
        <v>1682</v>
      </c>
      <c r="X998" s="69" t="s">
        <v>809</v>
      </c>
      <c r="Y998" s="69">
        <v>7.6</v>
      </c>
      <c r="Z998" s="69">
        <v>1.28</v>
      </c>
      <c r="AB998" s="69" t="s">
        <v>1577</v>
      </c>
      <c r="AC998" s="69" t="s">
        <v>1823</v>
      </c>
      <c r="AD998" s="153" t="str">
        <f t="shared" si="238"/>
        <v>Semileafless_pea</v>
      </c>
      <c r="AE998" s="69" t="s">
        <v>1636</v>
      </c>
      <c r="AK998" s="69" t="s">
        <v>203</v>
      </c>
      <c r="AM998" s="69">
        <v>0</v>
      </c>
      <c r="AN998" s="69">
        <v>0</v>
      </c>
      <c r="AO998" s="69" t="s">
        <v>230</v>
      </c>
      <c r="AP998" s="69" t="s">
        <v>154</v>
      </c>
      <c r="AQ998" s="69">
        <v>12</v>
      </c>
      <c r="AR998" s="69">
        <v>12</v>
      </c>
      <c r="AS998" s="69" t="s">
        <v>177</v>
      </c>
      <c r="AU998" s="69">
        <f>1.02*1000</f>
        <v>1020</v>
      </c>
      <c r="AV998" s="69">
        <f>AU998/37.8</f>
        <v>26.984126984126988</v>
      </c>
      <c r="AW998" s="71" t="s">
        <v>812</v>
      </c>
      <c r="BK998" s="69">
        <v>29</v>
      </c>
      <c r="BL998" s="69">
        <v>13</v>
      </c>
      <c r="BM998" s="69" t="s">
        <v>818</v>
      </c>
      <c r="DG998" s="69">
        <f>72/3</f>
        <v>24</v>
      </c>
      <c r="DH998" s="69">
        <f>64/3</f>
        <v>21.333333333333332</v>
      </c>
      <c r="DI998" s="38" t="s">
        <v>847</v>
      </c>
      <c r="FA998" s="69" t="s">
        <v>820</v>
      </c>
      <c r="FB998" s="31" t="s">
        <v>819</v>
      </c>
      <c r="FC998" s="69">
        <v>46</v>
      </c>
    </row>
    <row r="999" spans="1:159" s="69" customFormat="1" x14ac:dyDescent="0.25">
      <c r="A999" s="69">
        <v>46</v>
      </c>
      <c r="B999" s="69" t="s">
        <v>803</v>
      </c>
      <c r="C999" s="69" t="s">
        <v>802</v>
      </c>
      <c r="D999" s="69">
        <v>2013</v>
      </c>
      <c r="E999" s="69">
        <v>2009</v>
      </c>
      <c r="F999" s="69" t="s">
        <v>395</v>
      </c>
      <c r="G999" s="69" t="s">
        <v>807</v>
      </c>
      <c r="H999" s="69">
        <f>48+48/60</f>
        <v>48.8</v>
      </c>
      <c r="I999" s="69">
        <f>-111-38.5/60</f>
        <v>-111.64166666666667</v>
      </c>
      <c r="J999" s="69">
        <v>1102</v>
      </c>
      <c r="P999" s="70" t="s">
        <v>179</v>
      </c>
      <c r="Q999" s="70"/>
      <c r="R999" s="70" t="s">
        <v>816</v>
      </c>
      <c r="S999" s="70" t="s">
        <v>1668</v>
      </c>
      <c r="T999" s="70" t="s">
        <v>1682</v>
      </c>
      <c r="X999" s="69" t="s">
        <v>175</v>
      </c>
      <c r="Y999" s="69">
        <v>6.9</v>
      </c>
      <c r="Z999" s="69">
        <v>1.22</v>
      </c>
      <c r="AB999" s="69" t="s">
        <v>1577</v>
      </c>
      <c r="AC999" s="69" t="s">
        <v>1823</v>
      </c>
      <c r="AD999" s="153" t="str">
        <f t="shared" si="238"/>
        <v>Semileafless_pea</v>
      </c>
      <c r="AE999" s="69" t="s">
        <v>1636</v>
      </c>
      <c r="AK999" s="69" t="s">
        <v>203</v>
      </c>
      <c r="AM999" s="69">
        <v>0</v>
      </c>
      <c r="AN999" s="69">
        <v>0</v>
      </c>
      <c r="AO999" s="69" t="s">
        <v>230</v>
      </c>
      <c r="AP999" s="69" t="s">
        <v>154</v>
      </c>
      <c r="AQ999" s="69">
        <v>8</v>
      </c>
      <c r="AR999" s="69">
        <v>8</v>
      </c>
      <c r="AS999" s="69" t="s">
        <v>177</v>
      </c>
      <c r="AU999" s="69">
        <v>1090</v>
      </c>
      <c r="AV999" s="69">
        <f>AU999/28.4</f>
        <v>38.380281690140848</v>
      </c>
      <c r="AW999" s="71" t="s">
        <v>813</v>
      </c>
      <c r="BK999" s="69">
        <v>15</v>
      </c>
      <c r="BL999" s="69">
        <v>11</v>
      </c>
      <c r="BM999" s="69" t="s">
        <v>818</v>
      </c>
      <c r="DG999" s="69">
        <f>50/3</f>
        <v>16.666666666666668</v>
      </c>
      <c r="DH999" s="69">
        <f>38/3</f>
        <v>12.666666666666666</v>
      </c>
      <c r="DI999" s="38" t="s">
        <v>847</v>
      </c>
      <c r="FA999" s="69" t="s">
        <v>820</v>
      </c>
      <c r="FB999" s="31" t="s">
        <v>819</v>
      </c>
      <c r="FC999" s="69">
        <v>46</v>
      </c>
    </row>
    <row r="1000" spans="1:159" s="69" customFormat="1" x14ac:dyDescent="0.25">
      <c r="A1000" s="69">
        <v>46</v>
      </c>
      <c r="B1000" s="69" t="s">
        <v>803</v>
      </c>
      <c r="C1000" s="69" t="s">
        <v>802</v>
      </c>
      <c r="D1000" s="69">
        <v>2013</v>
      </c>
      <c r="E1000" s="69">
        <v>2009</v>
      </c>
      <c r="F1000" s="69" t="s">
        <v>395</v>
      </c>
      <c r="G1000" s="69" t="s">
        <v>808</v>
      </c>
      <c r="H1000" s="69">
        <f>48+48/60</f>
        <v>48.8</v>
      </c>
      <c r="I1000" s="69">
        <f>-111-31/60</f>
        <v>-111.51666666666667</v>
      </c>
      <c r="J1000" s="69">
        <v>1090</v>
      </c>
      <c r="P1000" s="70" t="s">
        <v>179</v>
      </c>
      <c r="Q1000" s="70"/>
      <c r="R1000" s="70" t="s">
        <v>816</v>
      </c>
      <c r="S1000" s="70" t="s">
        <v>1668</v>
      </c>
      <c r="T1000" s="70" t="s">
        <v>1682</v>
      </c>
      <c r="X1000" s="69" t="s">
        <v>635</v>
      </c>
      <c r="Y1000" s="69">
        <v>7.8</v>
      </c>
      <c r="Z1000" s="69">
        <v>1.1000000000000001</v>
      </c>
      <c r="AB1000" s="69" t="s">
        <v>1577</v>
      </c>
      <c r="AC1000" s="69" t="s">
        <v>682</v>
      </c>
      <c r="AD1000" s="153" t="str">
        <f t="shared" si="238"/>
        <v>Lentil</v>
      </c>
      <c r="AE1000" s="69" t="s">
        <v>1636</v>
      </c>
      <c r="AK1000" s="69" t="s">
        <v>203</v>
      </c>
      <c r="AM1000" s="69">
        <v>0</v>
      </c>
      <c r="AN1000" s="69">
        <v>0</v>
      </c>
      <c r="AO1000" s="69" t="s">
        <v>230</v>
      </c>
      <c r="AP1000" s="69" t="s">
        <v>154</v>
      </c>
      <c r="AQ1000" s="69">
        <v>8</v>
      </c>
      <c r="AR1000" s="69">
        <v>8</v>
      </c>
      <c r="AS1000" s="69" t="s">
        <v>177</v>
      </c>
      <c r="AU1000" s="69">
        <v>550</v>
      </c>
      <c r="AV1000" s="69">
        <f>AU1000/14.5</f>
        <v>37.931034482758619</v>
      </c>
      <c r="AW1000" s="71" t="s">
        <v>814</v>
      </c>
      <c r="BK1000" s="69">
        <v>2</v>
      </c>
      <c r="BL1000" s="69">
        <v>3</v>
      </c>
      <c r="BM1000" s="69" t="s">
        <v>818</v>
      </c>
      <c r="DG1000" s="69">
        <f>62/3</f>
        <v>20.666666666666668</v>
      </c>
      <c r="DH1000" s="69">
        <f>55/3</f>
        <v>18.333333333333332</v>
      </c>
      <c r="DI1000" s="38" t="s">
        <v>847</v>
      </c>
      <c r="FA1000" s="69" t="s">
        <v>820</v>
      </c>
      <c r="FB1000" s="31" t="s">
        <v>819</v>
      </c>
      <c r="FC1000" s="69">
        <v>46</v>
      </c>
    </row>
    <row r="1001" spans="1:159" s="26" customFormat="1" x14ac:dyDescent="0.25">
      <c r="A1001" s="26">
        <v>47</v>
      </c>
      <c r="B1001" s="26" t="s">
        <v>821</v>
      </c>
      <c r="C1001" s="26" t="s">
        <v>822</v>
      </c>
      <c r="D1001" s="26">
        <v>2014</v>
      </c>
      <c r="E1001" s="26">
        <v>2012</v>
      </c>
      <c r="F1001" s="26" t="s">
        <v>823</v>
      </c>
      <c r="G1001" s="26" t="s">
        <v>647</v>
      </c>
      <c r="H1001" s="26">
        <v>44.31</v>
      </c>
      <c r="I1001" s="75">
        <v>-96.798000000000002</v>
      </c>
      <c r="J1001" s="26">
        <v>495.3</v>
      </c>
      <c r="P1001" s="52" t="s">
        <v>179</v>
      </c>
      <c r="Q1001" s="52"/>
      <c r="R1001" s="52" t="s">
        <v>284</v>
      </c>
      <c r="S1001" s="52" t="s">
        <v>1659</v>
      </c>
      <c r="T1001" s="52" t="s">
        <v>1659</v>
      </c>
      <c r="U1001" s="26">
        <v>1.4</v>
      </c>
      <c r="X1001" s="26" t="s">
        <v>675</v>
      </c>
      <c r="Y1001" s="26">
        <v>6.3</v>
      </c>
      <c r="Z1001" s="26">
        <v>2.71</v>
      </c>
      <c r="AC1001" s="26" t="s">
        <v>682</v>
      </c>
      <c r="AD1001" s="153" t="str">
        <f t="shared" si="238"/>
        <v>Lentil</v>
      </c>
      <c r="AE1001" s="26" t="s">
        <v>167</v>
      </c>
      <c r="AG1001" s="26" t="s">
        <v>824</v>
      </c>
      <c r="AH1001" s="26" t="s">
        <v>824</v>
      </c>
      <c r="AI1001" s="26" t="s">
        <v>230</v>
      </c>
      <c r="AP1001" s="26" t="s">
        <v>208</v>
      </c>
      <c r="AQ1001" s="26">
        <v>3</v>
      </c>
      <c r="AR1001" s="26">
        <v>3</v>
      </c>
      <c r="AS1001" s="26" t="s">
        <v>177</v>
      </c>
      <c r="AX1001" s="26" t="s">
        <v>825</v>
      </c>
      <c r="BH1001" s="26">
        <f>(11.2+15.6+18+13.2+10.5+10.2)/6/10</f>
        <v>1.3116666666666668</v>
      </c>
      <c r="BI1001" s="26">
        <f>(17.8+18.6+21.1+16.3+13.1+10.1)/6/10</f>
        <v>1.6166666666666667</v>
      </c>
      <c r="CF1001" s="26">
        <f>442/10</f>
        <v>44.2</v>
      </c>
      <c r="CG1001" s="26">
        <f>(493)/10</f>
        <v>49.3</v>
      </c>
      <c r="CH1001" s="26" t="s">
        <v>1384</v>
      </c>
      <c r="CU1001" s="26">
        <f>(32+53)/10</f>
        <v>8.5</v>
      </c>
      <c r="CV1001" s="26">
        <f>(45+30)/10</f>
        <v>7.5</v>
      </c>
      <c r="CW1001" s="26" t="s">
        <v>1383</v>
      </c>
      <c r="FC1001" s="26">
        <v>47</v>
      </c>
    </row>
    <row r="1002" spans="1:159" s="26" customFormat="1" x14ac:dyDescent="0.25">
      <c r="A1002" s="26">
        <v>47</v>
      </c>
      <c r="B1002" s="26" t="s">
        <v>821</v>
      </c>
      <c r="C1002" s="26" t="s">
        <v>822</v>
      </c>
      <c r="D1002" s="26">
        <v>2014</v>
      </c>
      <c r="E1002" s="26">
        <v>2012</v>
      </c>
      <c r="F1002" s="26" t="s">
        <v>823</v>
      </c>
      <c r="G1002" s="26" t="s">
        <v>647</v>
      </c>
      <c r="H1002" s="26">
        <v>44.31</v>
      </c>
      <c r="I1002" s="75">
        <v>-96.798000000000002</v>
      </c>
      <c r="J1002" s="26">
        <v>495.3</v>
      </c>
      <c r="P1002" s="52" t="s">
        <v>179</v>
      </c>
      <c r="Q1002" s="52"/>
      <c r="R1002" s="52" t="s">
        <v>284</v>
      </c>
      <c r="S1002" s="52" t="s">
        <v>1659</v>
      </c>
      <c r="T1002" s="52" t="s">
        <v>1659</v>
      </c>
      <c r="U1002" s="26">
        <v>1.4</v>
      </c>
      <c r="X1002" s="26" t="s">
        <v>675</v>
      </c>
      <c r="Y1002" s="26">
        <v>6.3</v>
      </c>
      <c r="Z1002" s="26">
        <v>2.71</v>
      </c>
      <c r="AC1002" s="26" t="s">
        <v>682</v>
      </c>
      <c r="AD1002" s="153" t="str">
        <f t="shared" si="238"/>
        <v>Lentil</v>
      </c>
      <c r="AE1002" s="26" t="s">
        <v>167</v>
      </c>
      <c r="AG1002" s="26" t="s">
        <v>824</v>
      </c>
      <c r="AH1002" s="26" t="s">
        <v>824</v>
      </c>
      <c r="AI1002" s="26" t="s">
        <v>230</v>
      </c>
      <c r="AP1002" s="26" t="s">
        <v>208</v>
      </c>
      <c r="AQ1002" s="26">
        <v>3</v>
      </c>
      <c r="AR1002" s="26">
        <v>3</v>
      </c>
      <c r="AS1002" s="26" t="s">
        <v>177</v>
      </c>
      <c r="AX1002" s="26" t="s">
        <v>826</v>
      </c>
      <c r="BH1002" s="26">
        <f>(10.8+11.9+13.6+9.7+8.5+8.2)/6/10</f>
        <v>1.0450000000000002</v>
      </c>
      <c r="BI1002" s="26">
        <f>(8.7+10.2+13.2+9+7.7+7.8)/6/10</f>
        <v>0.94333333333333313</v>
      </c>
      <c r="CF1002" s="26">
        <f>(385)/10</f>
        <v>38.5</v>
      </c>
      <c r="CG1002" s="26">
        <f>(300)/10</f>
        <v>30</v>
      </c>
      <c r="CH1002" s="26" t="s">
        <v>1384</v>
      </c>
      <c r="CU1002" s="26">
        <f>(84+47)/10</f>
        <v>13.1</v>
      </c>
      <c r="CV1002" s="26">
        <f>(100+65)/10</f>
        <v>16.5</v>
      </c>
      <c r="CW1002" s="26" t="s">
        <v>1383</v>
      </c>
      <c r="FC1002" s="26">
        <v>47</v>
      </c>
    </row>
    <row r="1003" spans="1:159" s="26" customFormat="1" x14ac:dyDescent="0.25">
      <c r="A1003" s="26">
        <v>47</v>
      </c>
      <c r="B1003" s="26" t="s">
        <v>821</v>
      </c>
      <c r="C1003" s="26" t="s">
        <v>822</v>
      </c>
      <c r="D1003" s="26">
        <v>2014</v>
      </c>
      <c r="E1003" s="26">
        <v>2012</v>
      </c>
      <c r="F1003" s="26" t="s">
        <v>823</v>
      </c>
      <c r="G1003" s="26" t="s">
        <v>647</v>
      </c>
      <c r="H1003" s="26">
        <v>44.31</v>
      </c>
      <c r="I1003" s="75">
        <v>-96.798000000000002</v>
      </c>
      <c r="J1003" s="26">
        <v>495.3</v>
      </c>
      <c r="P1003" s="52" t="s">
        <v>179</v>
      </c>
      <c r="Q1003" s="52"/>
      <c r="R1003" s="52" t="s">
        <v>284</v>
      </c>
      <c r="S1003" s="52" t="s">
        <v>1659</v>
      </c>
      <c r="T1003" s="52" t="s">
        <v>1659</v>
      </c>
      <c r="U1003" s="26">
        <v>1.4</v>
      </c>
      <c r="X1003" s="26" t="s">
        <v>675</v>
      </c>
      <c r="Y1003" s="26">
        <v>6.3</v>
      </c>
      <c r="Z1003" s="26">
        <v>2.71</v>
      </c>
      <c r="AC1003" s="26" t="s">
        <v>682</v>
      </c>
      <c r="AD1003" s="153" t="str">
        <f t="shared" si="238"/>
        <v>Lentil</v>
      </c>
      <c r="AE1003" s="26" t="s">
        <v>167</v>
      </c>
      <c r="AG1003" s="26" t="s">
        <v>824</v>
      </c>
      <c r="AH1003" s="26" t="s">
        <v>824</v>
      </c>
      <c r="AI1003" s="26" t="s">
        <v>230</v>
      </c>
      <c r="AP1003" s="26" t="s">
        <v>208</v>
      </c>
      <c r="AQ1003" s="26">
        <v>3</v>
      </c>
      <c r="AR1003" s="26">
        <v>3</v>
      </c>
      <c r="AS1003" s="26" t="s">
        <v>177</v>
      </c>
      <c r="AX1003" s="26" t="s">
        <v>827</v>
      </c>
      <c r="BH1003" s="26">
        <f>(8.5+10.1+12.7+9.3+7.1+5.8)/6/10</f>
        <v>0.89166666666666661</v>
      </c>
      <c r="BI1003" s="26">
        <f>(8.5+11.3+13.5+10.3+8.6+7.9)/6/10</f>
        <v>1.0016666666666665</v>
      </c>
      <c r="CF1003" s="26">
        <f>(291)/10</f>
        <v>29.1</v>
      </c>
      <c r="CG1003" s="26">
        <f>(388)/10</f>
        <v>38.799999999999997</v>
      </c>
      <c r="CH1003" s="26" t="s">
        <v>1384</v>
      </c>
      <c r="CU1003" s="26">
        <f>(193+115)/10</f>
        <v>30.8</v>
      </c>
      <c r="CV1003" s="26">
        <f>(99+61)/10</f>
        <v>16</v>
      </c>
      <c r="CW1003" s="26" t="s">
        <v>1383</v>
      </c>
      <c r="FC1003" s="26">
        <v>47</v>
      </c>
    </row>
    <row r="1004" spans="1:159" s="31" customFormat="1" x14ac:dyDescent="0.25">
      <c r="A1004" s="31">
        <v>48</v>
      </c>
      <c r="B1004" s="31" t="s">
        <v>828</v>
      </c>
      <c r="C1004" s="31" t="s">
        <v>829</v>
      </c>
      <c r="D1004" s="31">
        <v>2016</v>
      </c>
      <c r="E1004" s="31">
        <v>2014</v>
      </c>
      <c r="F1004" s="31" t="s">
        <v>830</v>
      </c>
      <c r="G1004" s="31" t="s">
        <v>831</v>
      </c>
      <c r="H1004" s="31">
        <f t="shared" ref="H1004:H1019" si="241">42+5/60</f>
        <v>42.083333333333336</v>
      </c>
      <c r="I1004" s="31">
        <f t="shared" ref="I1004:I1019" si="242">-86-21/60</f>
        <v>-86.35</v>
      </c>
      <c r="J1004" s="31">
        <v>213.2</v>
      </c>
      <c r="P1004" s="56" t="s">
        <v>179</v>
      </c>
      <c r="Q1004" s="56"/>
      <c r="R1004" s="56"/>
      <c r="S1004" s="56" t="s">
        <v>1669</v>
      </c>
      <c r="T1004" s="56" t="s">
        <v>1669</v>
      </c>
      <c r="X1004" s="31" t="s">
        <v>832</v>
      </c>
      <c r="AB1004" s="31" t="s">
        <v>1578</v>
      </c>
      <c r="AC1004" s="31" t="s">
        <v>166</v>
      </c>
      <c r="AD1004" s="153" t="str">
        <f t="shared" si="238"/>
        <v>Rye</v>
      </c>
      <c r="AE1004" s="31" t="s">
        <v>1639</v>
      </c>
      <c r="AJ1004" s="31" t="s">
        <v>835</v>
      </c>
      <c r="AK1004" s="31" t="s">
        <v>835</v>
      </c>
      <c r="AL1004" s="31" t="s">
        <v>230</v>
      </c>
      <c r="AM1004" s="31" t="s">
        <v>833</v>
      </c>
      <c r="AN1004" s="31" t="s">
        <v>833</v>
      </c>
      <c r="AO1004" s="31" t="s">
        <v>230</v>
      </c>
      <c r="AP1004" s="31" t="s">
        <v>208</v>
      </c>
      <c r="AQ1004" s="31">
        <v>6</v>
      </c>
      <c r="AR1004" s="31">
        <v>6</v>
      </c>
      <c r="AS1004" s="31" t="s">
        <v>404</v>
      </c>
      <c r="AW1004" s="31" t="s">
        <v>834</v>
      </c>
      <c r="AX1004" s="31" t="s">
        <v>837</v>
      </c>
      <c r="DS1004" s="31">
        <f>(1.3+1.9+4.7)/3</f>
        <v>2.6333333333333333</v>
      </c>
      <c r="DT1004" s="31">
        <f>(1.03+1.026+2.54)/3</f>
        <v>1.532</v>
      </c>
      <c r="DU1004" s="31" t="s">
        <v>845</v>
      </c>
      <c r="FA1004" s="31" t="s">
        <v>874</v>
      </c>
      <c r="FC1004" s="31">
        <v>48</v>
      </c>
    </row>
    <row r="1005" spans="1:159" s="31" customFormat="1" x14ac:dyDescent="0.25">
      <c r="A1005" s="31">
        <v>48</v>
      </c>
      <c r="B1005" s="31" t="s">
        <v>828</v>
      </c>
      <c r="C1005" s="31" t="s">
        <v>829</v>
      </c>
      <c r="D1005" s="31">
        <v>2016</v>
      </c>
      <c r="E1005" s="31">
        <v>2014</v>
      </c>
      <c r="F1005" s="31" t="s">
        <v>830</v>
      </c>
      <c r="G1005" s="31" t="s">
        <v>831</v>
      </c>
      <c r="H1005" s="31">
        <f t="shared" si="241"/>
        <v>42.083333333333336</v>
      </c>
      <c r="I1005" s="31">
        <f t="shared" si="242"/>
        <v>-86.35</v>
      </c>
      <c r="J1005" s="31">
        <v>213.2</v>
      </c>
      <c r="P1005" s="56" t="s">
        <v>179</v>
      </c>
      <c r="Q1005" s="56"/>
      <c r="R1005" s="56"/>
      <c r="S1005" s="56" t="s">
        <v>1669</v>
      </c>
      <c r="T1005" s="56" t="s">
        <v>1669</v>
      </c>
      <c r="X1005" s="31" t="s">
        <v>832</v>
      </c>
      <c r="AB1005" s="31" t="s">
        <v>1578</v>
      </c>
      <c r="AC1005" s="31" t="s">
        <v>166</v>
      </c>
      <c r="AD1005" s="153" t="str">
        <f t="shared" si="238"/>
        <v>Rye</v>
      </c>
      <c r="AE1005" s="31" t="s">
        <v>1639</v>
      </c>
      <c r="AJ1005" s="31" t="s">
        <v>836</v>
      </c>
      <c r="AK1005" s="31" t="s">
        <v>836</v>
      </c>
      <c r="AL1005" s="31" t="s">
        <v>230</v>
      </c>
      <c r="AM1005" s="31" t="s">
        <v>833</v>
      </c>
      <c r="AN1005" s="31" t="s">
        <v>833</v>
      </c>
      <c r="AO1005" s="31" t="s">
        <v>230</v>
      </c>
      <c r="AP1005" s="31" t="s">
        <v>208</v>
      </c>
      <c r="AQ1005" s="31">
        <v>6</v>
      </c>
      <c r="AR1005" s="31">
        <v>6</v>
      </c>
      <c r="AS1005" s="31" t="s">
        <v>404</v>
      </c>
      <c r="AW1005" s="31" t="s">
        <v>834</v>
      </c>
      <c r="AX1005" s="31" t="s">
        <v>837</v>
      </c>
      <c r="DS1005" s="31">
        <f>(1.92+2.38+5.5)/3</f>
        <v>3.2666666666666671</v>
      </c>
      <c r="DT1005" s="31">
        <f>(2.58+1.69+3.03)/3</f>
        <v>2.4333333333333331</v>
      </c>
      <c r="DU1005" s="31" t="s">
        <v>845</v>
      </c>
      <c r="FA1005" s="31" t="s">
        <v>874</v>
      </c>
      <c r="FC1005" s="31">
        <v>48</v>
      </c>
    </row>
    <row r="1006" spans="1:159" s="38" customFormat="1" x14ac:dyDescent="0.25">
      <c r="A1006" s="38">
        <v>48</v>
      </c>
      <c r="B1006" s="38" t="s">
        <v>828</v>
      </c>
      <c r="C1006" s="38" t="s">
        <v>829</v>
      </c>
      <c r="D1006" s="38">
        <v>2016</v>
      </c>
      <c r="E1006" s="38">
        <v>2014</v>
      </c>
      <c r="F1006" s="38" t="s">
        <v>830</v>
      </c>
      <c r="G1006" s="38" t="s">
        <v>831</v>
      </c>
      <c r="H1006" s="38">
        <f t="shared" si="241"/>
        <v>42.083333333333336</v>
      </c>
      <c r="I1006" s="38">
        <f t="shared" si="242"/>
        <v>-86.35</v>
      </c>
      <c r="J1006" s="38">
        <v>213.2</v>
      </c>
      <c r="P1006" s="57" t="s">
        <v>179</v>
      </c>
      <c r="Q1006" s="57"/>
      <c r="R1006" s="57"/>
      <c r="S1006" s="57" t="s">
        <v>1669</v>
      </c>
      <c r="T1006" s="57" t="s">
        <v>1669</v>
      </c>
      <c r="X1006" s="38" t="s">
        <v>832</v>
      </c>
      <c r="AB1006" s="38" t="s">
        <v>1578</v>
      </c>
      <c r="AC1006" s="38" t="s">
        <v>166</v>
      </c>
      <c r="AD1006" s="153" t="str">
        <f t="shared" si="238"/>
        <v>Rye</v>
      </c>
      <c r="AE1006" s="38" t="s">
        <v>1639</v>
      </c>
      <c r="AJ1006" s="38" t="s">
        <v>835</v>
      </c>
      <c r="AK1006" s="38" t="s">
        <v>835</v>
      </c>
      <c r="AL1006" s="38" t="s">
        <v>230</v>
      </c>
      <c r="AM1006" s="38" t="s">
        <v>833</v>
      </c>
      <c r="AN1006" s="38" t="s">
        <v>833</v>
      </c>
      <c r="AO1006" s="38" t="s">
        <v>230</v>
      </c>
      <c r="AP1006" s="38" t="s">
        <v>208</v>
      </c>
      <c r="AQ1006" s="38">
        <v>6</v>
      </c>
      <c r="AR1006" s="38">
        <v>6</v>
      </c>
      <c r="AS1006" s="38" t="s">
        <v>404</v>
      </c>
      <c r="AW1006" s="38" t="s">
        <v>834</v>
      </c>
      <c r="AX1006" s="38" t="s">
        <v>838</v>
      </c>
      <c r="DS1006" s="38">
        <f>(0.6+1.19+3.93)/3</f>
        <v>1.906666666666667</v>
      </c>
      <c r="DT1006" s="38">
        <f>(0.3+0.46+1.27)/3</f>
        <v>0.67666666666666675</v>
      </c>
      <c r="DU1006" s="38" t="s">
        <v>845</v>
      </c>
      <c r="FA1006" s="38" t="s">
        <v>874</v>
      </c>
      <c r="FC1006" s="38">
        <v>48</v>
      </c>
    </row>
    <row r="1007" spans="1:159" s="38" customFormat="1" x14ac:dyDescent="0.25">
      <c r="A1007" s="38">
        <v>48</v>
      </c>
      <c r="B1007" s="38" t="s">
        <v>828</v>
      </c>
      <c r="C1007" s="38" t="s">
        <v>829</v>
      </c>
      <c r="D1007" s="38">
        <v>2016</v>
      </c>
      <c r="E1007" s="38">
        <v>2014</v>
      </c>
      <c r="F1007" s="38" t="s">
        <v>830</v>
      </c>
      <c r="G1007" s="38" t="s">
        <v>831</v>
      </c>
      <c r="H1007" s="38">
        <f t="shared" si="241"/>
        <v>42.083333333333336</v>
      </c>
      <c r="I1007" s="38">
        <f t="shared" si="242"/>
        <v>-86.35</v>
      </c>
      <c r="J1007" s="38">
        <v>213.2</v>
      </c>
      <c r="P1007" s="57" t="s">
        <v>179</v>
      </c>
      <c r="Q1007" s="57"/>
      <c r="R1007" s="57"/>
      <c r="S1007" s="57" t="s">
        <v>1669</v>
      </c>
      <c r="T1007" s="57" t="s">
        <v>1669</v>
      </c>
      <c r="X1007" s="38" t="s">
        <v>832</v>
      </c>
      <c r="AB1007" s="38" t="s">
        <v>1578</v>
      </c>
      <c r="AC1007" s="38" t="s">
        <v>166</v>
      </c>
      <c r="AD1007" s="153" t="str">
        <f t="shared" si="238"/>
        <v>Rye</v>
      </c>
      <c r="AE1007" s="38" t="s">
        <v>1639</v>
      </c>
      <c r="AJ1007" s="38" t="s">
        <v>836</v>
      </c>
      <c r="AK1007" s="38" t="s">
        <v>836</v>
      </c>
      <c r="AL1007" s="38" t="s">
        <v>230</v>
      </c>
      <c r="AM1007" s="38" t="s">
        <v>833</v>
      </c>
      <c r="AN1007" s="38" t="s">
        <v>833</v>
      </c>
      <c r="AO1007" s="38" t="s">
        <v>230</v>
      </c>
      <c r="AP1007" s="38" t="s">
        <v>208</v>
      </c>
      <c r="AQ1007" s="38">
        <v>6</v>
      </c>
      <c r="AR1007" s="38">
        <v>6</v>
      </c>
      <c r="AS1007" s="38" t="s">
        <v>404</v>
      </c>
      <c r="AW1007" s="38" t="s">
        <v>834</v>
      </c>
      <c r="AX1007" s="38" t="s">
        <v>838</v>
      </c>
      <c r="DS1007" s="38">
        <f>(0.55+1.16+3.96)/3</f>
        <v>1.89</v>
      </c>
      <c r="DT1007" s="38">
        <f>(0.48+0.48+2.75)/3</f>
        <v>1.2366666666666666</v>
      </c>
      <c r="DU1007" s="38" t="s">
        <v>845</v>
      </c>
      <c r="FA1007" s="38" t="s">
        <v>874</v>
      </c>
      <c r="FC1007" s="38">
        <v>48</v>
      </c>
    </row>
    <row r="1008" spans="1:159" s="31" customFormat="1" x14ac:dyDescent="0.25">
      <c r="A1008" s="31">
        <v>48</v>
      </c>
      <c r="B1008" s="31" t="s">
        <v>828</v>
      </c>
      <c r="C1008" s="31" t="s">
        <v>829</v>
      </c>
      <c r="D1008" s="31">
        <v>2016</v>
      </c>
      <c r="E1008" s="31">
        <v>2014</v>
      </c>
      <c r="F1008" s="31" t="s">
        <v>830</v>
      </c>
      <c r="G1008" s="31" t="s">
        <v>831</v>
      </c>
      <c r="H1008" s="31">
        <f t="shared" si="241"/>
        <v>42.083333333333336</v>
      </c>
      <c r="I1008" s="31">
        <f t="shared" si="242"/>
        <v>-86.35</v>
      </c>
      <c r="J1008" s="31">
        <v>213.2</v>
      </c>
      <c r="P1008" s="56" t="s">
        <v>179</v>
      </c>
      <c r="Q1008" s="56"/>
      <c r="R1008" s="56"/>
      <c r="S1008" s="56" t="s">
        <v>1669</v>
      </c>
      <c r="T1008" s="56" t="s">
        <v>1669</v>
      </c>
      <c r="X1008" s="31" t="s">
        <v>832</v>
      </c>
      <c r="AB1008" s="31" t="s">
        <v>1578</v>
      </c>
      <c r="AC1008" s="31" t="s">
        <v>166</v>
      </c>
      <c r="AD1008" s="153" t="str">
        <f t="shared" si="238"/>
        <v>Rye</v>
      </c>
      <c r="AE1008" s="31" t="s">
        <v>1639</v>
      </c>
      <c r="AJ1008" s="31" t="s">
        <v>835</v>
      </c>
      <c r="AK1008" s="31" t="s">
        <v>835</v>
      </c>
      <c r="AL1008" s="31" t="s">
        <v>230</v>
      </c>
      <c r="AM1008" s="31" t="s">
        <v>833</v>
      </c>
      <c r="AN1008" s="31" t="s">
        <v>833</v>
      </c>
      <c r="AO1008" s="31" t="s">
        <v>230</v>
      </c>
      <c r="AP1008" s="31" t="s">
        <v>208</v>
      </c>
      <c r="AQ1008" s="31">
        <v>6</v>
      </c>
      <c r="AR1008" s="31">
        <v>6</v>
      </c>
      <c r="AS1008" s="31" t="s">
        <v>404</v>
      </c>
      <c r="AW1008" s="31" t="s">
        <v>834</v>
      </c>
      <c r="AX1008" s="31" t="s">
        <v>839</v>
      </c>
      <c r="DS1008" s="31">
        <f>(4.54+9.44+4.55)/3</f>
        <v>6.1766666666666667</v>
      </c>
      <c r="DT1008" s="31">
        <f>(5.5+7.12+8.54)/3</f>
        <v>7.0533333333333337</v>
      </c>
      <c r="DU1008" s="31" t="s">
        <v>845</v>
      </c>
      <c r="FA1008" s="31" t="s">
        <v>874</v>
      </c>
      <c r="FC1008" s="31">
        <v>48</v>
      </c>
    </row>
    <row r="1009" spans="1:159" s="31" customFormat="1" x14ac:dyDescent="0.25">
      <c r="A1009" s="31">
        <v>48</v>
      </c>
      <c r="B1009" s="31" t="s">
        <v>828</v>
      </c>
      <c r="C1009" s="31" t="s">
        <v>829</v>
      </c>
      <c r="D1009" s="31">
        <v>2016</v>
      </c>
      <c r="E1009" s="31">
        <v>2014</v>
      </c>
      <c r="F1009" s="31" t="s">
        <v>830</v>
      </c>
      <c r="G1009" s="31" t="s">
        <v>831</v>
      </c>
      <c r="H1009" s="31">
        <f t="shared" si="241"/>
        <v>42.083333333333336</v>
      </c>
      <c r="I1009" s="31">
        <f t="shared" si="242"/>
        <v>-86.35</v>
      </c>
      <c r="J1009" s="31">
        <v>213.2</v>
      </c>
      <c r="P1009" s="56" t="s">
        <v>179</v>
      </c>
      <c r="Q1009" s="56"/>
      <c r="R1009" s="56"/>
      <c r="S1009" s="56" t="s">
        <v>1669</v>
      </c>
      <c r="T1009" s="56" t="s">
        <v>1669</v>
      </c>
      <c r="X1009" s="31" t="s">
        <v>832</v>
      </c>
      <c r="AB1009" s="31" t="s">
        <v>1578</v>
      </c>
      <c r="AC1009" s="31" t="s">
        <v>166</v>
      </c>
      <c r="AD1009" s="153" t="str">
        <f t="shared" si="238"/>
        <v>Rye</v>
      </c>
      <c r="AE1009" s="31" t="s">
        <v>1639</v>
      </c>
      <c r="AJ1009" s="31" t="s">
        <v>836</v>
      </c>
      <c r="AK1009" s="31" t="s">
        <v>836</v>
      </c>
      <c r="AL1009" s="31" t="s">
        <v>230</v>
      </c>
      <c r="AM1009" s="31" t="s">
        <v>833</v>
      </c>
      <c r="AN1009" s="31" t="s">
        <v>833</v>
      </c>
      <c r="AO1009" s="31" t="s">
        <v>230</v>
      </c>
      <c r="AP1009" s="31" t="s">
        <v>208</v>
      </c>
      <c r="AQ1009" s="31">
        <v>6</v>
      </c>
      <c r="AR1009" s="31">
        <v>6</v>
      </c>
      <c r="AS1009" s="31" t="s">
        <v>404</v>
      </c>
      <c r="AW1009" s="31" t="s">
        <v>834</v>
      </c>
      <c r="AX1009" s="31" t="s">
        <v>839</v>
      </c>
      <c r="DS1009" s="31">
        <f>(7.52+10.35+5.91)/3</f>
        <v>7.9266666666666659</v>
      </c>
      <c r="DT1009" s="31">
        <f>(4.49+10.45+3.49)/3</f>
        <v>6.1433333333333335</v>
      </c>
      <c r="DU1009" s="31" t="s">
        <v>845</v>
      </c>
      <c r="FA1009" s="31" t="s">
        <v>874</v>
      </c>
      <c r="FC1009" s="31">
        <v>48</v>
      </c>
    </row>
    <row r="1010" spans="1:159" s="38" customFormat="1" x14ac:dyDescent="0.25">
      <c r="A1010" s="38">
        <v>48</v>
      </c>
      <c r="B1010" s="38" t="s">
        <v>828</v>
      </c>
      <c r="C1010" s="38" t="s">
        <v>829</v>
      </c>
      <c r="D1010" s="38">
        <v>2016</v>
      </c>
      <c r="E1010" s="38">
        <v>2014</v>
      </c>
      <c r="F1010" s="38" t="s">
        <v>830</v>
      </c>
      <c r="G1010" s="38" t="s">
        <v>831</v>
      </c>
      <c r="H1010" s="38">
        <f t="shared" si="241"/>
        <v>42.083333333333336</v>
      </c>
      <c r="I1010" s="38">
        <f t="shared" si="242"/>
        <v>-86.35</v>
      </c>
      <c r="J1010" s="38">
        <v>213.2</v>
      </c>
      <c r="P1010" s="57" t="s">
        <v>179</v>
      </c>
      <c r="Q1010" s="57"/>
      <c r="R1010" s="57"/>
      <c r="S1010" s="57" t="s">
        <v>1669</v>
      </c>
      <c r="T1010" s="57" t="s">
        <v>1669</v>
      </c>
      <c r="X1010" s="38" t="s">
        <v>832</v>
      </c>
      <c r="AB1010" s="38" t="s">
        <v>1578</v>
      </c>
      <c r="AC1010" s="38" t="s">
        <v>166</v>
      </c>
      <c r="AD1010" s="153" t="str">
        <f t="shared" si="238"/>
        <v>Rye</v>
      </c>
      <c r="AE1010" s="38" t="s">
        <v>1639</v>
      </c>
      <c r="AJ1010" s="38" t="s">
        <v>835</v>
      </c>
      <c r="AK1010" s="38" t="s">
        <v>835</v>
      </c>
      <c r="AL1010" s="38" t="s">
        <v>230</v>
      </c>
      <c r="AM1010" s="38" t="s">
        <v>833</v>
      </c>
      <c r="AN1010" s="38" t="s">
        <v>833</v>
      </c>
      <c r="AO1010" s="38" t="s">
        <v>230</v>
      </c>
      <c r="AP1010" s="38" t="s">
        <v>208</v>
      </c>
      <c r="AQ1010" s="38">
        <v>6</v>
      </c>
      <c r="AR1010" s="38">
        <v>6</v>
      </c>
      <c r="AS1010" s="38" t="s">
        <v>404</v>
      </c>
      <c r="AW1010" s="38" t="s">
        <v>834</v>
      </c>
      <c r="AX1010" s="38" t="s">
        <v>840</v>
      </c>
      <c r="DS1010" s="38">
        <f>(1.1+1.93+0.55)/3</f>
        <v>1.1933333333333334</v>
      </c>
      <c r="DT1010" s="38">
        <f>(2.2+1.55+1.03)/3</f>
        <v>1.5933333333333335</v>
      </c>
      <c r="DU1010" s="38" t="s">
        <v>845</v>
      </c>
      <c r="FA1010" s="38" t="s">
        <v>874</v>
      </c>
      <c r="FC1010" s="38">
        <v>48</v>
      </c>
    </row>
    <row r="1011" spans="1:159" s="38" customFormat="1" x14ac:dyDescent="0.25">
      <c r="A1011" s="38">
        <v>48</v>
      </c>
      <c r="B1011" s="38" t="s">
        <v>828</v>
      </c>
      <c r="C1011" s="38" t="s">
        <v>829</v>
      </c>
      <c r="D1011" s="38">
        <v>2016</v>
      </c>
      <c r="E1011" s="38">
        <v>2014</v>
      </c>
      <c r="F1011" s="38" t="s">
        <v>830</v>
      </c>
      <c r="G1011" s="38" t="s">
        <v>831</v>
      </c>
      <c r="H1011" s="38">
        <f t="shared" si="241"/>
        <v>42.083333333333336</v>
      </c>
      <c r="I1011" s="38">
        <f t="shared" si="242"/>
        <v>-86.35</v>
      </c>
      <c r="J1011" s="38">
        <v>213.2</v>
      </c>
      <c r="P1011" s="57" t="s">
        <v>179</v>
      </c>
      <c r="Q1011" s="57"/>
      <c r="R1011" s="57"/>
      <c r="S1011" s="57" t="s">
        <v>1669</v>
      </c>
      <c r="T1011" s="57" t="s">
        <v>1669</v>
      </c>
      <c r="X1011" s="38" t="s">
        <v>832</v>
      </c>
      <c r="AB1011" s="38" t="s">
        <v>1578</v>
      </c>
      <c r="AC1011" s="38" t="s">
        <v>166</v>
      </c>
      <c r="AD1011" s="153" t="str">
        <f t="shared" si="238"/>
        <v>Rye</v>
      </c>
      <c r="AE1011" s="38" t="s">
        <v>1639</v>
      </c>
      <c r="AJ1011" s="38" t="s">
        <v>836</v>
      </c>
      <c r="AK1011" s="38" t="s">
        <v>836</v>
      </c>
      <c r="AL1011" s="38" t="s">
        <v>230</v>
      </c>
      <c r="AM1011" s="38" t="s">
        <v>833</v>
      </c>
      <c r="AN1011" s="38" t="s">
        <v>833</v>
      </c>
      <c r="AO1011" s="38" t="s">
        <v>230</v>
      </c>
      <c r="AP1011" s="38" t="s">
        <v>208</v>
      </c>
      <c r="AQ1011" s="38">
        <v>6</v>
      </c>
      <c r="AR1011" s="38">
        <v>6</v>
      </c>
      <c r="AS1011" s="38" t="s">
        <v>404</v>
      </c>
      <c r="AW1011" s="38" t="s">
        <v>834</v>
      </c>
      <c r="AX1011" s="38" t="s">
        <v>840</v>
      </c>
      <c r="DS1011" s="38">
        <f>(1.1+1.19+0.67)/3</f>
        <v>0.98666666666666669</v>
      </c>
      <c r="DT1011" s="38">
        <f>(1.21+0.93+0.9)/3</f>
        <v>1.0133333333333334</v>
      </c>
      <c r="DU1011" s="38" t="s">
        <v>845</v>
      </c>
      <c r="FA1011" s="38" t="s">
        <v>874</v>
      </c>
      <c r="FC1011" s="38">
        <v>48</v>
      </c>
    </row>
    <row r="1012" spans="1:159" s="76" customFormat="1" x14ac:dyDescent="0.25">
      <c r="A1012" s="76">
        <v>48</v>
      </c>
      <c r="B1012" s="76" t="s">
        <v>828</v>
      </c>
      <c r="C1012" s="76" t="s">
        <v>829</v>
      </c>
      <c r="D1012" s="76">
        <v>2016</v>
      </c>
      <c r="E1012" s="76">
        <v>2015</v>
      </c>
      <c r="F1012" s="76" t="s">
        <v>830</v>
      </c>
      <c r="G1012" s="76" t="s">
        <v>831</v>
      </c>
      <c r="H1012" s="76">
        <f t="shared" si="241"/>
        <v>42.083333333333336</v>
      </c>
      <c r="I1012" s="76">
        <f t="shared" si="242"/>
        <v>-86.35</v>
      </c>
      <c r="J1012" s="76">
        <v>213.2</v>
      </c>
      <c r="P1012" s="77" t="s">
        <v>180</v>
      </c>
      <c r="Q1012" s="77"/>
      <c r="R1012" s="77"/>
      <c r="S1012" s="77" t="s">
        <v>1669</v>
      </c>
      <c r="T1012" s="77" t="s">
        <v>1669</v>
      </c>
      <c r="X1012" s="76" t="s">
        <v>832</v>
      </c>
      <c r="AB1012" s="31" t="s">
        <v>1578</v>
      </c>
      <c r="AC1012" s="76" t="s">
        <v>166</v>
      </c>
      <c r="AD1012" s="153" t="str">
        <f t="shared" si="238"/>
        <v>Rye</v>
      </c>
      <c r="AE1012" s="76" t="s">
        <v>1639</v>
      </c>
      <c r="AJ1012" s="76" t="s">
        <v>835</v>
      </c>
      <c r="AK1012" s="76" t="s">
        <v>835</v>
      </c>
      <c r="AL1012" s="76" t="s">
        <v>230</v>
      </c>
      <c r="AM1012" s="76" t="s">
        <v>833</v>
      </c>
      <c r="AN1012" s="76" t="s">
        <v>833</v>
      </c>
      <c r="AO1012" s="76" t="s">
        <v>230</v>
      </c>
      <c r="AP1012" s="76" t="s">
        <v>208</v>
      </c>
      <c r="AQ1012" s="76">
        <v>6</v>
      </c>
      <c r="AR1012" s="76">
        <v>6</v>
      </c>
      <c r="AS1012" s="76" t="s">
        <v>404</v>
      </c>
      <c r="AW1012" s="76" t="s">
        <v>834</v>
      </c>
      <c r="AX1012" s="76" t="s">
        <v>841</v>
      </c>
      <c r="DS1012" s="76">
        <f>(1.19+2.25+4.6)/3</f>
        <v>2.6799999999999997</v>
      </c>
      <c r="DT1012" s="76">
        <f>(0.81+3.51+6.17)/3</f>
        <v>3.4966666666666666</v>
      </c>
      <c r="DU1012" s="31" t="s">
        <v>845</v>
      </c>
      <c r="FA1012" s="31" t="s">
        <v>874</v>
      </c>
      <c r="FC1012" s="76">
        <v>48</v>
      </c>
    </row>
    <row r="1013" spans="1:159" s="76" customFormat="1" x14ac:dyDescent="0.25">
      <c r="A1013" s="76">
        <v>48</v>
      </c>
      <c r="B1013" s="76" t="s">
        <v>828</v>
      </c>
      <c r="C1013" s="76" t="s">
        <v>829</v>
      </c>
      <c r="D1013" s="76">
        <v>2016</v>
      </c>
      <c r="E1013" s="76">
        <v>2015</v>
      </c>
      <c r="F1013" s="76" t="s">
        <v>830</v>
      </c>
      <c r="G1013" s="76" t="s">
        <v>831</v>
      </c>
      <c r="H1013" s="76">
        <f t="shared" si="241"/>
        <v>42.083333333333336</v>
      </c>
      <c r="I1013" s="76">
        <f t="shared" si="242"/>
        <v>-86.35</v>
      </c>
      <c r="J1013" s="76">
        <v>213.2</v>
      </c>
      <c r="P1013" s="77" t="s">
        <v>180</v>
      </c>
      <c r="Q1013" s="77"/>
      <c r="R1013" s="77"/>
      <c r="S1013" s="77" t="s">
        <v>1669</v>
      </c>
      <c r="T1013" s="77" t="s">
        <v>1669</v>
      </c>
      <c r="X1013" s="76" t="s">
        <v>832</v>
      </c>
      <c r="AB1013" s="31" t="s">
        <v>1578</v>
      </c>
      <c r="AC1013" s="76" t="s">
        <v>166</v>
      </c>
      <c r="AD1013" s="153" t="str">
        <f t="shared" si="238"/>
        <v>Rye</v>
      </c>
      <c r="AE1013" s="76" t="s">
        <v>1639</v>
      </c>
      <c r="AJ1013" s="76" t="s">
        <v>836</v>
      </c>
      <c r="AK1013" s="76" t="s">
        <v>836</v>
      </c>
      <c r="AL1013" s="76" t="s">
        <v>230</v>
      </c>
      <c r="AM1013" s="76" t="s">
        <v>833</v>
      </c>
      <c r="AN1013" s="76" t="s">
        <v>833</v>
      </c>
      <c r="AO1013" s="76" t="s">
        <v>230</v>
      </c>
      <c r="AP1013" s="76" t="s">
        <v>208</v>
      </c>
      <c r="AQ1013" s="76">
        <v>6</v>
      </c>
      <c r="AR1013" s="76">
        <v>6</v>
      </c>
      <c r="AS1013" s="76" t="s">
        <v>404</v>
      </c>
      <c r="AW1013" s="76" t="s">
        <v>834</v>
      </c>
      <c r="AX1013" s="76" t="s">
        <v>841</v>
      </c>
      <c r="DS1013" s="76">
        <f>(3.81+2.16+5.86)/3</f>
        <v>3.9433333333333338</v>
      </c>
      <c r="DT1013" s="76">
        <f>(3.86+3.28+5.63)/3</f>
        <v>4.2566666666666668</v>
      </c>
      <c r="DU1013" s="31" t="s">
        <v>845</v>
      </c>
      <c r="FA1013" s="31" t="s">
        <v>874</v>
      </c>
      <c r="FC1013" s="76">
        <v>48</v>
      </c>
    </row>
    <row r="1014" spans="1:159" s="78" customFormat="1" x14ac:dyDescent="0.25">
      <c r="A1014" s="78">
        <v>48</v>
      </c>
      <c r="B1014" s="78" t="s">
        <v>828</v>
      </c>
      <c r="C1014" s="78" t="s">
        <v>829</v>
      </c>
      <c r="D1014" s="78">
        <v>2016</v>
      </c>
      <c r="E1014" s="78">
        <v>2015</v>
      </c>
      <c r="F1014" s="78" t="s">
        <v>830</v>
      </c>
      <c r="G1014" s="78" t="s">
        <v>831</v>
      </c>
      <c r="H1014" s="78">
        <f t="shared" si="241"/>
        <v>42.083333333333336</v>
      </c>
      <c r="I1014" s="78">
        <f t="shared" si="242"/>
        <v>-86.35</v>
      </c>
      <c r="J1014" s="78">
        <v>213.2</v>
      </c>
      <c r="P1014" s="79" t="s">
        <v>180</v>
      </c>
      <c r="Q1014" s="79"/>
      <c r="R1014" s="79"/>
      <c r="S1014" s="79" t="s">
        <v>1669</v>
      </c>
      <c r="T1014" s="79" t="s">
        <v>1669</v>
      </c>
      <c r="X1014" s="78" t="s">
        <v>832</v>
      </c>
      <c r="AB1014" s="38" t="s">
        <v>1578</v>
      </c>
      <c r="AC1014" s="78" t="s">
        <v>166</v>
      </c>
      <c r="AD1014" s="153" t="str">
        <f t="shared" si="238"/>
        <v>Rye</v>
      </c>
      <c r="AE1014" s="78" t="s">
        <v>1639</v>
      </c>
      <c r="AJ1014" s="78" t="s">
        <v>835</v>
      </c>
      <c r="AK1014" s="78" t="s">
        <v>835</v>
      </c>
      <c r="AL1014" s="78" t="s">
        <v>230</v>
      </c>
      <c r="AM1014" s="78" t="s">
        <v>833</v>
      </c>
      <c r="AN1014" s="78" t="s">
        <v>833</v>
      </c>
      <c r="AO1014" s="78" t="s">
        <v>230</v>
      </c>
      <c r="AP1014" s="78" t="s">
        <v>208</v>
      </c>
      <c r="AQ1014" s="78">
        <v>6</v>
      </c>
      <c r="AR1014" s="78">
        <v>6</v>
      </c>
      <c r="AS1014" s="78" t="s">
        <v>404</v>
      </c>
      <c r="AW1014" s="78" t="s">
        <v>834</v>
      </c>
      <c r="AX1014" s="78" t="s">
        <v>842</v>
      </c>
      <c r="DS1014" s="78">
        <f>(0.08+1.55+3.77)/3</f>
        <v>1.8</v>
      </c>
      <c r="DT1014" s="78">
        <f>(0.27+3.04+5.56)/3</f>
        <v>2.9566666666666666</v>
      </c>
      <c r="DU1014" s="38" t="s">
        <v>845</v>
      </c>
      <c r="FA1014" s="38" t="s">
        <v>874</v>
      </c>
      <c r="FC1014" s="78">
        <v>48</v>
      </c>
    </row>
    <row r="1015" spans="1:159" s="78" customFormat="1" x14ac:dyDescent="0.25">
      <c r="A1015" s="78">
        <v>48</v>
      </c>
      <c r="B1015" s="78" t="s">
        <v>828</v>
      </c>
      <c r="C1015" s="78" t="s">
        <v>829</v>
      </c>
      <c r="D1015" s="78">
        <v>2016</v>
      </c>
      <c r="E1015" s="78">
        <v>2015</v>
      </c>
      <c r="F1015" s="78" t="s">
        <v>830</v>
      </c>
      <c r="G1015" s="78" t="s">
        <v>831</v>
      </c>
      <c r="H1015" s="78">
        <f t="shared" si="241"/>
        <v>42.083333333333336</v>
      </c>
      <c r="I1015" s="78">
        <f t="shared" si="242"/>
        <v>-86.35</v>
      </c>
      <c r="J1015" s="78">
        <v>213.2</v>
      </c>
      <c r="P1015" s="79" t="s">
        <v>180</v>
      </c>
      <c r="Q1015" s="79"/>
      <c r="R1015" s="79"/>
      <c r="S1015" s="79" t="s">
        <v>1669</v>
      </c>
      <c r="T1015" s="79" t="s">
        <v>1669</v>
      </c>
      <c r="X1015" s="78" t="s">
        <v>832</v>
      </c>
      <c r="AB1015" s="38" t="s">
        <v>1578</v>
      </c>
      <c r="AC1015" s="78" t="s">
        <v>166</v>
      </c>
      <c r="AD1015" s="153" t="str">
        <f t="shared" si="238"/>
        <v>Rye</v>
      </c>
      <c r="AE1015" s="78" t="s">
        <v>1639</v>
      </c>
      <c r="AJ1015" s="78" t="s">
        <v>836</v>
      </c>
      <c r="AK1015" s="78" t="s">
        <v>836</v>
      </c>
      <c r="AL1015" s="78" t="s">
        <v>230</v>
      </c>
      <c r="AM1015" s="78" t="s">
        <v>833</v>
      </c>
      <c r="AN1015" s="78" t="s">
        <v>833</v>
      </c>
      <c r="AO1015" s="78" t="s">
        <v>230</v>
      </c>
      <c r="AP1015" s="78" t="s">
        <v>208</v>
      </c>
      <c r="AQ1015" s="78">
        <v>6</v>
      </c>
      <c r="AR1015" s="78">
        <v>6</v>
      </c>
      <c r="AS1015" s="78" t="s">
        <v>404</v>
      </c>
      <c r="AW1015" s="78" t="s">
        <v>834</v>
      </c>
      <c r="AX1015" s="78" t="s">
        <v>842</v>
      </c>
      <c r="DS1015" s="78">
        <f>(0.06+1.6+3.82)/3</f>
        <v>1.8266666666666669</v>
      </c>
      <c r="DT1015" s="78">
        <f>(0.37+1.78+4.98)/3</f>
        <v>2.3766666666666669</v>
      </c>
      <c r="DU1015" s="38" t="s">
        <v>845</v>
      </c>
      <c r="FA1015" s="38" t="s">
        <v>874</v>
      </c>
      <c r="FC1015" s="78">
        <v>48</v>
      </c>
    </row>
    <row r="1016" spans="1:159" s="76" customFormat="1" x14ac:dyDescent="0.25">
      <c r="A1016" s="76">
        <v>48</v>
      </c>
      <c r="B1016" s="76" t="s">
        <v>828</v>
      </c>
      <c r="C1016" s="76" t="s">
        <v>829</v>
      </c>
      <c r="D1016" s="76">
        <v>2016</v>
      </c>
      <c r="E1016" s="76">
        <v>2015</v>
      </c>
      <c r="F1016" s="76" t="s">
        <v>830</v>
      </c>
      <c r="G1016" s="76" t="s">
        <v>831</v>
      </c>
      <c r="H1016" s="76">
        <f t="shared" si="241"/>
        <v>42.083333333333336</v>
      </c>
      <c r="I1016" s="76">
        <f t="shared" si="242"/>
        <v>-86.35</v>
      </c>
      <c r="J1016" s="76">
        <v>213.2</v>
      </c>
      <c r="P1016" s="77" t="s">
        <v>180</v>
      </c>
      <c r="Q1016" s="77"/>
      <c r="R1016" s="77"/>
      <c r="S1016" s="77" t="s">
        <v>1669</v>
      </c>
      <c r="T1016" s="77" t="s">
        <v>1669</v>
      </c>
      <c r="X1016" s="76" t="s">
        <v>832</v>
      </c>
      <c r="AB1016" s="31" t="s">
        <v>1578</v>
      </c>
      <c r="AC1016" s="76" t="s">
        <v>166</v>
      </c>
      <c r="AD1016" s="153" t="str">
        <f t="shared" si="238"/>
        <v>Rye</v>
      </c>
      <c r="AE1016" s="76" t="s">
        <v>1639</v>
      </c>
      <c r="AJ1016" s="76" t="s">
        <v>835</v>
      </c>
      <c r="AK1016" s="76" t="s">
        <v>835</v>
      </c>
      <c r="AL1016" s="76" t="s">
        <v>230</v>
      </c>
      <c r="AM1016" s="76" t="s">
        <v>833</v>
      </c>
      <c r="AN1016" s="76" t="s">
        <v>833</v>
      </c>
      <c r="AO1016" s="76" t="s">
        <v>230</v>
      </c>
      <c r="AP1016" s="76" t="s">
        <v>208</v>
      </c>
      <c r="AQ1016" s="76">
        <v>6</v>
      </c>
      <c r="AR1016" s="76">
        <v>6</v>
      </c>
      <c r="AS1016" s="76" t="s">
        <v>404</v>
      </c>
      <c r="AW1016" s="76" t="s">
        <v>834</v>
      </c>
      <c r="AX1016" s="76" t="s">
        <v>843</v>
      </c>
      <c r="DS1016" s="76">
        <f>(1.98+2.59+1.28)/3</f>
        <v>1.9500000000000002</v>
      </c>
      <c r="DT1016" s="76">
        <f>(6.37+4.61+1.99)/3</f>
        <v>4.3233333333333333</v>
      </c>
      <c r="DU1016" s="31" t="s">
        <v>845</v>
      </c>
      <c r="FA1016" s="31" t="s">
        <v>874</v>
      </c>
      <c r="FC1016" s="76">
        <v>48</v>
      </c>
    </row>
    <row r="1017" spans="1:159" s="76" customFormat="1" x14ac:dyDescent="0.25">
      <c r="A1017" s="76">
        <v>48</v>
      </c>
      <c r="B1017" s="76" t="s">
        <v>828</v>
      </c>
      <c r="C1017" s="76" t="s">
        <v>829</v>
      </c>
      <c r="D1017" s="76">
        <v>2016</v>
      </c>
      <c r="E1017" s="76">
        <v>2015</v>
      </c>
      <c r="F1017" s="76" t="s">
        <v>830</v>
      </c>
      <c r="G1017" s="76" t="s">
        <v>831</v>
      </c>
      <c r="H1017" s="76">
        <f t="shared" si="241"/>
        <v>42.083333333333336</v>
      </c>
      <c r="I1017" s="76">
        <f t="shared" si="242"/>
        <v>-86.35</v>
      </c>
      <c r="J1017" s="76">
        <v>213.2</v>
      </c>
      <c r="P1017" s="77" t="s">
        <v>180</v>
      </c>
      <c r="Q1017" s="77"/>
      <c r="R1017" s="77"/>
      <c r="S1017" s="77" t="s">
        <v>1669</v>
      </c>
      <c r="T1017" s="77" t="s">
        <v>1669</v>
      </c>
      <c r="X1017" s="76" t="s">
        <v>832</v>
      </c>
      <c r="AB1017" s="31" t="s">
        <v>1578</v>
      </c>
      <c r="AC1017" s="76" t="s">
        <v>166</v>
      </c>
      <c r="AD1017" s="153" t="str">
        <f t="shared" si="238"/>
        <v>Rye</v>
      </c>
      <c r="AE1017" s="76" t="s">
        <v>1639</v>
      </c>
      <c r="AJ1017" s="76" t="s">
        <v>836</v>
      </c>
      <c r="AK1017" s="76" t="s">
        <v>836</v>
      </c>
      <c r="AL1017" s="76" t="s">
        <v>230</v>
      </c>
      <c r="AM1017" s="76" t="s">
        <v>833</v>
      </c>
      <c r="AN1017" s="76" t="s">
        <v>833</v>
      </c>
      <c r="AO1017" s="76" t="s">
        <v>230</v>
      </c>
      <c r="AP1017" s="76" t="s">
        <v>208</v>
      </c>
      <c r="AQ1017" s="76">
        <v>6</v>
      </c>
      <c r="AR1017" s="76">
        <v>6</v>
      </c>
      <c r="AS1017" s="76" t="s">
        <v>404</v>
      </c>
      <c r="AW1017" s="76" t="s">
        <v>834</v>
      </c>
      <c r="AX1017" s="76" t="s">
        <v>843</v>
      </c>
      <c r="DS1017" s="76">
        <f>(1.58+3.45+2.39)/3</f>
        <v>2.4733333333333332</v>
      </c>
      <c r="DT1017" s="76">
        <f>(2.69+3.1+2.09)/3</f>
        <v>2.6266666666666665</v>
      </c>
      <c r="DU1017" s="31" t="s">
        <v>845</v>
      </c>
      <c r="FA1017" s="31" t="s">
        <v>874</v>
      </c>
      <c r="FC1017" s="76">
        <v>48</v>
      </c>
    </row>
    <row r="1018" spans="1:159" s="78" customFormat="1" x14ac:dyDescent="0.25">
      <c r="A1018" s="78">
        <v>48</v>
      </c>
      <c r="B1018" s="78" t="s">
        <v>828</v>
      </c>
      <c r="C1018" s="78" t="s">
        <v>829</v>
      </c>
      <c r="D1018" s="78">
        <v>2016</v>
      </c>
      <c r="E1018" s="78">
        <v>2015</v>
      </c>
      <c r="F1018" s="78" t="s">
        <v>830</v>
      </c>
      <c r="G1018" s="78" t="s">
        <v>831</v>
      </c>
      <c r="H1018" s="78">
        <f t="shared" si="241"/>
        <v>42.083333333333336</v>
      </c>
      <c r="I1018" s="78">
        <f t="shared" si="242"/>
        <v>-86.35</v>
      </c>
      <c r="J1018" s="78">
        <v>213.2</v>
      </c>
      <c r="P1018" s="79" t="s">
        <v>180</v>
      </c>
      <c r="Q1018" s="79"/>
      <c r="R1018" s="79"/>
      <c r="S1018" s="79" t="s">
        <v>1669</v>
      </c>
      <c r="T1018" s="79" t="s">
        <v>1669</v>
      </c>
      <c r="X1018" s="78" t="s">
        <v>832</v>
      </c>
      <c r="AB1018" s="38" t="s">
        <v>1578</v>
      </c>
      <c r="AC1018" s="78" t="s">
        <v>166</v>
      </c>
      <c r="AD1018" s="153" t="str">
        <f t="shared" si="238"/>
        <v>Rye</v>
      </c>
      <c r="AE1018" s="78" t="s">
        <v>1639</v>
      </c>
      <c r="AJ1018" s="78" t="s">
        <v>835</v>
      </c>
      <c r="AK1018" s="78" t="s">
        <v>835</v>
      </c>
      <c r="AL1018" s="78" t="s">
        <v>230</v>
      </c>
      <c r="AM1018" s="78" t="s">
        <v>833</v>
      </c>
      <c r="AN1018" s="78" t="s">
        <v>833</v>
      </c>
      <c r="AO1018" s="78" t="s">
        <v>230</v>
      </c>
      <c r="AP1018" s="78" t="s">
        <v>208</v>
      </c>
      <c r="AQ1018" s="78">
        <v>6</v>
      </c>
      <c r="AR1018" s="78">
        <v>6</v>
      </c>
      <c r="AS1018" s="78" t="s">
        <v>404</v>
      </c>
      <c r="AW1018" s="78" t="s">
        <v>834</v>
      </c>
      <c r="AX1018" s="78" t="s">
        <v>844</v>
      </c>
      <c r="DS1018" s="78">
        <f>(0.88+17.1+4.5)/3</f>
        <v>7.4933333333333332</v>
      </c>
      <c r="DT1018" s="78">
        <f>(4.56+26.3+3.02)/3</f>
        <v>11.293333333333335</v>
      </c>
      <c r="DU1018" s="38" t="s">
        <v>845</v>
      </c>
      <c r="FA1018" s="38" t="s">
        <v>874</v>
      </c>
      <c r="FC1018" s="78">
        <v>48</v>
      </c>
    </row>
    <row r="1019" spans="1:159" s="78" customFormat="1" x14ac:dyDescent="0.25">
      <c r="A1019" s="78">
        <v>48</v>
      </c>
      <c r="B1019" s="78" t="s">
        <v>828</v>
      </c>
      <c r="C1019" s="78" t="s">
        <v>829</v>
      </c>
      <c r="D1019" s="78">
        <v>2016</v>
      </c>
      <c r="E1019" s="78">
        <v>2015</v>
      </c>
      <c r="F1019" s="78" t="s">
        <v>830</v>
      </c>
      <c r="G1019" s="78" t="s">
        <v>831</v>
      </c>
      <c r="H1019" s="78">
        <f t="shared" si="241"/>
        <v>42.083333333333336</v>
      </c>
      <c r="I1019" s="78">
        <f t="shared" si="242"/>
        <v>-86.35</v>
      </c>
      <c r="J1019" s="78">
        <v>213.2</v>
      </c>
      <c r="P1019" s="79" t="s">
        <v>180</v>
      </c>
      <c r="Q1019" s="79"/>
      <c r="R1019" s="79"/>
      <c r="S1019" s="79" t="s">
        <v>1669</v>
      </c>
      <c r="T1019" s="79" t="s">
        <v>1669</v>
      </c>
      <c r="X1019" s="78" t="s">
        <v>832</v>
      </c>
      <c r="AB1019" s="38" t="s">
        <v>1578</v>
      </c>
      <c r="AC1019" s="78" t="s">
        <v>166</v>
      </c>
      <c r="AD1019" s="153" t="str">
        <f t="shared" si="238"/>
        <v>Rye</v>
      </c>
      <c r="AE1019" s="78" t="s">
        <v>1639</v>
      </c>
      <c r="AJ1019" s="78" t="s">
        <v>836</v>
      </c>
      <c r="AK1019" s="78" t="s">
        <v>836</v>
      </c>
      <c r="AL1019" s="78" t="s">
        <v>230</v>
      </c>
      <c r="AM1019" s="78" t="s">
        <v>833</v>
      </c>
      <c r="AN1019" s="78" t="s">
        <v>833</v>
      </c>
      <c r="AO1019" s="78" t="s">
        <v>230</v>
      </c>
      <c r="AP1019" s="78" t="s">
        <v>208</v>
      </c>
      <c r="AQ1019" s="78">
        <v>6</v>
      </c>
      <c r="AR1019" s="78">
        <v>6</v>
      </c>
      <c r="AS1019" s="78" t="s">
        <v>404</v>
      </c>
      <c r="AW1019" s="78" t="s">
        <v>834</v>
      </c>
      <c r="AX1019" s="78" t="s">
        <v>844</v>
      </c>
      <c r="DS1019" s="78">
        <f>(0.76+14.87+2.66)/3</f>
        <v>6.0966666666666667</v>
      </c>
      <c r="DT1019" s="78">
        <f>(0.62+17.69+4)/3</f>
        <v>7.4366666666666674</v>
      </c>
      <c r="DU1019" s="38" t="s">
        <v>845</v>
      </c>
      <c r="FA1019" s="38" t="s">
        <v>874</v>
      </c>
      <c r="FC1019" s="78">
        <v>48</v>
      </c>
    </row>
    <row r="1020" spans="1:159" s="26" customFormat="1" x14ac:dyDescent="0.25">
      <c r="A1020" s="26">
        <v>49</v>
      </c>
      <c r="B1020" s="26" t="s">
        <v>875</v>
      </c>
      <c r="C1020" s="26" t="s">
        <v>876</v>
      </c>
      <c r="D1020" s="26">
        <v>2000</v>
      </c>
      <c r="E1020" s="26">
        <v>1995</v>
      </c>
      <c r="F1020" s="26" t="s">
        <v>877</v>
      </c>
      <c r="G1020" s="26" t="s">
        <v>886</v>
      </c>
      <c r="H1020" s="26">
        <v>34.69</v>
      </c>
      <c r="I1020" s="26">
        <v>-86.88</v>
      </c>
      <c r="J1020" s="26">
        <v>181</v>
      </c>
      <c r="P1020" s="52" t="s">
        <v>179</v>
      </c>
      <c r="Q1020" s="52"/>
      <c r="R1020" s="52"/>
      <c r="S1020" s="52" t="s">
        <v>1654</v>
      </c>
      <c r="T1020" s="52" t="s">
        <v>1654</v>
      </c>
      <c r="X1020" s="26" t="s">
        <v>168</v>
      </c>
      <c r="AB1020" s="26" t="s">
        <v>1579</v>
      </c>
      <c r="AC1020" s="26" t="s">
        <v>166</v>
      </c>
      <c r="AD1020" s="153" t="str">
        <f t="shared" si="238"/>
        <v>Rye</v>
      </c>
      <c r="AE1020" s="26" t="s">
        <v>709</v>
      </c>
      <c r="AJ1020" s="26" t="s">
        <v>878</v>
      </c>
      <c r="AK1020" s="26" t="s">
        <v>878</v>
      </c>
      <c r="AL1020" s="26" t="s">
        <v>230</v>
      </c>
      <c r="AP1020" s="26" t="s">
        <v>208</v>
      </c>
      <c r="AS1020" s="26" t="s">
        <v>177</v>
      </c>
      <c r="BB1020" s="26">
        <v>1590</v>
      </c>
      <c r="BC1020" s="26">
        <v>1510</v>
      </c>
      <c r="CL1020" s="26">
        <v>0.56999999999999995</v>
      </c>
      <c r="CM1020" s="26">
        <v>0.92</v>
      </c>
      <c r="CN1020" s="26" t="s">
        <v>1051</v>
      </c>
      <c r="FA1020" s="26" t="s">
        <v>882</v>
      </c>
      <c r="FC1020" s="26">
        <v>49</v>
      </c>
    </row>
    <row r="1021" spans="1:159" s="26" customFormat="1" x14ac:dyDescent="0.25">
      <c r="A1021" s="26">
        <v>49</v>
      </c>
      <c r="B1021" s="26" t="s">
        <v>875</v>
      </c>
      <c r="C1021" s="26" t="s">
        <v>876</v>
      </c>
      <c r="D1021" s="26">
        <v>2000</v>
      </c>
      <c r="E1021" s="26">
        <v>1995</v>
      </c>
      <c r="F1021" s="26" t="s">
        <v>877</v>
      </c>
      <c r="G1021" s="26" t="s">
        <v>886</v>
      </c>
      <c r="H1021" s="26">
        <v>34.69</v>
      </c>
      <c r="I1021" s="26">
        <v>-86.88</v>
      </c>
      <c r="J1021" s="26">
        <v>181</v>
      </c>
      <c r="P1021" s="52" t="s">
        <v>179</v>
      </c>
      <c r="Q1021" s="52"/>
      <c r="R1021" s="52"/>
      <c r="S1021" s="52" t="s">
        <v>1654</v>
      </c>
      <c r="T1021" s="52" t="s">
        <v>1654</v>
      </c>
      <c r="X1021" s="26" t="s">
        <v>168</v>
      </c>
      <c r="AB1021" s="26" t="s">
        <v>1579</v>
      </c>
      <c r="AC1021" s="26" t="s">
        <v>166</v>
      </c>
      <c r="AD1021" s="153" t="str">
        <f t="shared" si="238"/>
        <v>Rye</v>
      </c>
      <c r="AE1021" s="26" t="s">
        <v>709</v>
      </c>
      <c r="AJ1021" s="26" t="s">
        <v>879</v>
      </c>
      <c r="AK1021" s="26" t="s">
        <v>879</v>
      </c>
      <c r="AL1021" s="26" t="s">
        <v>230</v>
      </c>
      <c r="AP1021" s="26" t="s">
        <v>208</v>
      </c>
      <c r="AS1021" s="26" t="s">
        <v>177</v>
      </c>
      <c r="BB1021" s="26">
        <v>1530</v>
      </c>
      <c r="BC1021" s="26">
        <v>1440</v>
      </c>
      <c r="CL1021" s="26">
        <v>0.69</v>
      </c>
      <c r="CM1021" s="26">
        <v>0.77</v>
      </c>
      <c r="CN1021" s="26" t="s">
        <v>1051</v>
      </c>
      <c r="FA1021" s="26" t="s">
        <v>882</v>
      </c>
      <c r="FC1021" s="26">
        <v>49</v>
      </c>
    </row>
    <row r="1022" spans="1:159" s="26" customFormat="1" x14ac:dyDescent="0.25">
      <c r="A1022" s="26">
        <v>49</v>
      </c>
      <c r="B1022" s="26" t="s">
        <v>875</v>
      </c>
      <c r="C1022" s="26" t="s">
        <v>876</v>
      </c>
      <c r="D1022" s="26">
        <v>2000</v>
      </c>
      <c r="E1022" s="26">
        <v>1995</v>
      </c>
      <c r="F1022" s="26" t="s">
        <v>877</v>
      </c>
      <c r="G1022" s="26" t="s">
        <v>886</v>
      </c>
      <c r="H1022" s="26">
        <v>34.69</v>
      </c>
      <c r="I1022" s="26">
        <v>-86.88</v>
      </c>
      <c r="J1022" s="26">
        <v>181</v>
      </c>
      <c r="P1022" s="52" t="s">
        <v>179</v>
      </c>
      <c r="Q1022" s="52"/>
      <c r="R1022" s="52"/>
      <c r="S1022" s="52" t="s">
        <v>1654</v>
      </c>
      <c r="T1022" s="52" t="s">
        <v>1654</v>
      </c>
      <c r="X1022" s="26" t="s">
        <v>168</v>
      </c>
      <c r="AB1022" s="26" t="s">
        <v>1579</v>
      </c>
      <c r="AC1022" s="26" t="s">
        <v>166</v>
      </c>
      <c r="AD1022" s="153" t="str">
        <f t="shared" si="238"/>
        <v>Rye</v>
      </c>
      <c r="AE1022" s="26" t="s">
        <v>709</v>
      </c>
      <c r="AJ1022" s="26" t="s">
        <v>880</v>
      </c>
      <c r="AK1022" s="26" t="s">
        <v>880</v>
      </c>
      <c r="AL1022" s="26" t="s">
        <v>230</v>
      </c>
      <c r="AP1022" s="26" t="s">
        <v>208</v>
      </c>
      <c r="AS1022" s="26" t="s">
        <v>177</v>
      </c>
      <c r="BB1022" s="26">
        <v>1510</v>
      </c>
      <c r="BC1022" s="26">
        <v>1230</v>
      </c>
      <c r="FA1022" s="26" t="s">
        <v>882</v>
      </c>
      <c r="FC1022" s="26">
        <v>49</v>
      </c>
    </row>
    <row r="1023" spans="1:159" s="26" customFormat="1" x14ac:dyDescent="0.25">
      <c r="A1023" s="26">
        <v>49</v>
      </c>
      <c r="B1023" s="26" t="s">
        <v>875</v>
      </c>
      <c r="C1023" s="26" t="s">
        <v>876</v>
      </c>
      <c r="D1023" s="26">
        <v>2000</v>
      </c>
      <c r="E1023" s="26">
        <v>1995</v>
      </c>
      <c r="F1023" s="26" t="s">
        <v>877</v>
      </c>
      <c r="G1023" s="26" t="s">
        <v>886</v>
      </c>
      <c r="H1023" s="26">
        <v>34.69</v>
      </c>
      <c r="I1023" s="26">
        <v>-86.88</v>
      </c>
      <c r="J1023" s="26">
        <v>181</v>
      </c>
      <c r="P1023" s="52" t="s">
        <v>179</v>
      </c>
      <c r="Q1023" s="52"/>
      <c r="R1023" s="52"/>
      <c r="S1023" s="52" t="s">
        <v>1654</v>
      </c>
      <c r="T1023" s="52" t="s">
        <v>1654</v>
      </c>
      <c r="X1023" s="26" t="s">
        <v>168</v>
      </c>
      <c r="AB1023" s="26" t="s">
        <v>1579</v>
      </c>
      <c r="AC1023" s="26" t="s">
        <v>166</v>
      </c>
      <c r="AD1023" s="153" t="str">
        <f t="shared" si="238"/>
        <v>Rye</v>
      </c>
      <c r="AE1023" s="26" t="s">
        <v>709</v>
      </c>
      <c r="AJ1023" s="26" t="s">
        <v>881</v>
      </c>
      <c r="AK1023" s="26" t="s">
        <v>881</v>
      </c>
      <c r="AL1023" s="26" t="s">
        <v>230</v>
      </c>
      <c r="AP1023" s="26" t="s">
        <v>208</v>
      </c>
      <c r="AS1023" s="26" t="s">
        <v>177</v>
      </c>
      <c r="BB1023" s="26">
        <v>1420</v>
      </c>
      <c r="BC1023" s="26">
        <v>1280</v>
      </c>
      <c r="FA1023" s="26" t="s">
        <v>882</v>
      </c>
      <c r="FC1023" s="26">
        <v>49</v>
      </c>
    </row>
    <row r="1024" spans="1:159" s="26" customFormat="1" x14ac:dyDescent="0.25">
      <c r="A1024" s="26">
        <v>49</v>
      </c>
      <c r="B1024" s="26" t="s">
        <v>875</v>
      </c>
      <c r="C1024" s="26" t="s">
        <v>876</v>
      </c>
      <c r="D1024" s="26">
        <v>2000</v>
      </c>
      <c r="E1024" s="26">
        <v>1995</v>
      </c>
      <c r="F1024" s="26" t="s">
        <v>877</v>
      </c>
      <c r="G1024" s="26" t="s">
        <v>886</v>
      </c>
      <c r="H1024" s="26">
        <v>34.69</v>
      </c>
      <c r="I1024" s="26">
        <v>-86.88</v>
      </c>
      <c r="J1024" s="26">
        <v>181</v>
      </c>
      <c r="P1024" s="52" t="s">
        <v>179</v>
      </c>
      <c r="Q1024" s="52"/>
      <c r="R1024" s="52"/>
      <c r="S1024" s="52" t="s">
        <v>1654</v>
      </c>
      <c r="T1024" s="52" t="s">
        <v>1654</v>
      </c>
      <c r="X1024" s="26" t="s">
        <v>168</v>
      </c>
      <c r="AB1024" s="26" t="s">
        <v>1579</v>
      </c>
      <c r="AC1024" s="26" t="s">
        <v>166</v>
      </c>
      <c r="AD1024" s="153" t="str">
        <f t="shared" si="238"/>
        <v>Rye</v>
      </c>
      <c r="AE1024" s="26" t="s">
        <v>709</v>
      </c>
      <c r="AJ1024" s="26" t="s">
        <v>203</v>
      </c>
      <c r="AK1024" s="26" t="s">
        <v>203</v>
      </c>
      <c r="AL1024" s="26" t="s">
        <v>230</v>
      </c>
      <c r="AP1024" s="26" t="s">
        <v>208</v>
      </c>
      <c r="AS1024" s="26" t="s">
        <v>177</v>
      </c>
      <c r="BB1024" s="26">
        <v>1500</v>
      </c>
      <c r="BC1024" s="26">
        <v>1320</v>
      </c>
      <c r="CL1024" s="26">
        <v>1.57</v>
      </c>
      <c r="CM1024" s="26">
        <v>1.47</v>
      </c>
      <c r="CN1024" s="26" t="s">
        <v>1051</v>
      </c>
      <c r="FA1024" s="26" t="s">
        <v>882</v>
      </c>
      <c r="FC1024" s="26">
        <v>49</v>
      </c>
    </row>
    <row r="1025" spans="1:159" s="26" customFormat="1" x14ac:dyDescent="0.25">
      <c r="A1025" s="26">
        <v>49</v>
      </c>
      <c r="B1025" s="26" t="s">
        <v>875</v>
      </c>
      <c r="C1025" s="26" t="s">
        <v>876</v>
      </c>
      <c r="D1025" s="26">
        <v>2000</v>
      </c>
      <c r="E1025" s="26">
        <v>1995</v>
      </c>
      <c r="F1025" s="26" t="s">
        <v>877</v>
      </c>
      <c r="G1025" s="26" t="s">
        <v>886</v>
      </c>
      <c r="H1025" s="26">
        <v>34.69</v>
      </c>
      <c r="I1025" s="26">
        <v>-86.88</v>
      </c>
      <c r="J1025" s="26">
        <v>181</v>
      </c>
      <c r="P1025" s="52" t="s">
        <v>179</v>
      </c>
      <c r="Q1025" s="52"/>
      <c r="R1025" s="52"/>
      <c r="S1025" s="52" t="s">
        <v>1654</v>
      </c>
      <c r="T1025" s="52" t="s">
        <v>1654</v>
      </c>
      <c r="X1025" s="26" t="s">
        <v>168</v>
      </c>
      <c r="AB1025" s="26" t="s">
        <v>1579</v>
      </c>
      <c r="AC1025" s="26" t="s">
        <v>166</v>
      </c>
      <c r="AD1025" s="153" t="str">
        <f t="shared" si="238"/>
        <v>Rye</v>
      </c>
      <c r="AE1025" s="26" t="s">
        <v>709</v>
      </c>
      <c r="AJ1025" s="26" t="s">
        <v>289</v>
      </c>
      <c r="AK1025" s="26" t="s">
        <v>203</v>
      </c>
      <c r="AL1025" s="26" t="s">
        <v>618</v>
      </c>
      <c r="AP1025" s="26" t="s">
        <v>208</v>
      </c>
      <c r="AS1025" s="26" t="s">
        <v>177</v>
      </c>
      <c r="BB1025" s="26">
        <v>1750</v>
      </c>
      <c r="BC1025" s="26">
        <v>1320</v>
      </c>
      <c r="CL1025" s="26">
        <v>1.01</v>
      </c>
      <c r="CM1025" s="26">
        <v>1.47</v>
      </c>
      <c r="CN1025" s="26" t="s">
        <v>1051</v>
      </c>
      <c r="FA1025" s="26" t="s">
        <v>882</v>
      </c>
      <c r="FC1025" s="26">
        <v>49</v>
      </c>
    </row>
    <row r="1026" spans="1:159" s="35" customFormat="1" x14ac:dyDescent="0.25">
      <c r="A1026" s="35">
        <v>49</v>
      </c>
      <c r="B1026" s="35" t="s">
        <v>875</v>
      </c>
      <c r="C1026" s="35" t="s">
        <v>876</v>
      </c>
      <c r="D1026" s="35">
        <v>2000</v>
      </c>
      <c r="E1026" s="35">
        <v>1996</v>
      </c>
      <c r="F1026" s="35" t="s">
        <v>877</v>
      </c>
      <c r="G1026" s="35" t="s">
        <v>886</v>
      </c>
      <c r="H1026" s="35">
        <v>34.69</v>
      </c>
      <c r="I1026" s="35">
        <v>-86.88</v>
      </c>
      <c r="J1026" s="35">
        <v>181</v>
      </c>
      <c r="P1026" s="54" t="s">
        <v>180</v>
      </c>
      <c r="Q1026" s="54"/>
      <c r="R1026" s="54"/>
      <c r="S1026" s="54" t="s">
        <v>1654</v>
      </c>
      <c r="T1026" s="54" t="s">
        <v>1654</v>
      </c>
      <c r="X1026" s="35" t="s">
        <v>168</v>
      </c>
      <c r="AB1026" s="35" t="s">
        <v>1579</v>
      </c>
      <c r="AC1026" s="35" t="s">
        <v>166</v>
      </c>
      <c r="AD1026" s="153" t="str">
        <f t="shared" si="238"/>
        <v>Rye</v>
      </c>
      <c r="AE1026" s="35" t="s">
        <v>709</v>
      </c>
      <c r="AJ1026" s="35" t="s">
        <v>878</v>
      </c>
      <c r="AK1026" s="35" t="s">
        <v>878</v>
      </c>
      <c r="AL1026" s="35" t="s">
        <v>230</v>
      </c>
      <c r="AP1026" s="35" t="s">
        <v>208</v>
      </c>
      <c r="AS1026" s="35" t="s">
        <v>177</v>
      </c>
      <c r="BB1026" s="35">
        <v>3930</v>
      </c>
      <c r="BC1026" s="35">
        <v>4150</v>
      </c>
      <c r="CL1026" s="35">
        <v>0.11</v>
      </c>
      <c r="CM1026" s="35">
        <v>0.64</v>
      </c>
      <c r="CN1026" s="35" t="s">
        <v>1051</v>
      </c>
      <c r="FA1026" s="35" t="s">
        <v>882</v>
      </c>
      <c r="FC1026" s="35">
        <v>49</v>
      </c>
    </row>
    <row r="1027" spans="1:159" s="35" customFormat="1" x14ac:dyDescent="0.25">
      <c r="A1027" s="35">
        <v>49</v>
      </c>
      <c r="B1027" s="35" t="s">
        <v>875</v>
      </c>
      <c r="C1027" s="35" t="s">
        <v>876</v>
      </c>
      <c r="D1027" s="35">
        <v>2000</v>
      </c>
      <c r="E1027" s="35">
        <v>1996</v>
      </c>
      <c r="F1027" s="35" t="s">
        <v>877</v>
      </c>
      <c r="G1027" s="35" t="s">
        <v>886</v>
      </c>
      <c r="H1027" s="35">
        <v>34.69</v>
      </c>
      <c r="I1027" s="35">
        <v>-86.88</v>
      </c>
      <c r="J1027" s="35">
        <v>181</v>
      </c>
      <c r="P1027" s="54" t="s">
        <v>180</v>
      </c>
      <c r="Q1027" s="54"/>
      <c r="R1027" s="54"/>
      <c r="S1027" s="54" t="s">
        <v>1654</v>
      </c>
      <c r="T1027" s="54" t="s">
        <v>1654</v>
      </c>
      <c r="X1027" s="35" t="s">
        <v>168</v>
      </c>
      <c r="AB1027" s="35" t="s">
        <v>1579</v>
      </c>
      <c r="AC1027" s="35" t="s">
        <v>166</v>
      </c>
      <c r="AD1027" s="153" t="str">
        <f t="shared" ref="AD1027:AD1090" si="243">IF(OR(AC1027="*Rye",AC1027="Rye*",AC1027="Downy_brome"),"Rye",IF(OR(AC1027="*Oat",AC1027="Oat*",AC1027="Trudan_8",AC1027="*Wheat",AC1027="Wheat*",AC1027="Barley*",AC1027="Hemp",AC1027="Hemp",AC1027="Triticale*",AC1027="Grass",AC1027="Millet"),"Grass",IF(OR(AC1027="*clover",AC1027="clover*",AC1027="Vetch*",AC1027="Vetch*",AC1027="Alfalfa",AC1027="Soybean",AC1027="*Lentil",AC1027="Lentil*",AC1027="*Pea",AC1027="Pea*",AC1027="Lupine"),"Legume",AC1027)))</f>
        <v>Rye</v>
      </c>
      <c r="AE1027" s="35" t="s">
        <v>709</v>
      </c>
      <c r="AJ1027" s="35" t="s">
        <v>879</v>
      </c>
      <c r="AK1027" s="35" t="s">
        <v>879</v>
      </c>
      <c r="AL1027" s="35" t="s">
        <v>230</v>
      </c>
      <c r="AP1027" s="35" t="s">
        <v>208</v>
      </c>
      <c r="AS1027" s="35" t="s">
        <v>177</v>
      </c>
      <c r="BB1027" s="35">
        <v>3900</v>
      </c>
      <c r="BC1027" s="35">
        <v>4000</v>
      </c>
      <c r="CL1027" s="35">
        <v>0.13</v>
      </c>
      <c r="CM1027" s="35">
        <v>0.19</v>
      </c>
      <c r="CN1027" s="35" t="s">
        <v>1051</v>
      </c>
      <c r="FA1027" s="35" t="s">
        <v>882</v>
      </c>
      <c r="FC1027" s="35">
        <v>49</v>
      </c>
    </row>
    <row r="1028" spans="1:159" s="35" customFormat="1" x14ac:dyDescent="0.25">
      <c r="A1028" s="35">
        <v>49</v>
      </c>
      <c r="B1028" s="35" t="s">
        <v>875</v>
      </c>
      <c r="C1028" s="35" t="s">
        <v>876</v>
      </c>
      <c r="D1028" s="35">
        <v>2000</v>
      </c>
      <c r="E1028" s="35">
        <v>1996</v>
      </c>
      <c r="F1028" s="35" t="s">
        <v>877</v>
      </c>
      <c r="G1028" s="35" t="s">
        <v>886</v>
      </c>
      <c r="H1028" s="35">
        <v>34.69</v>
      </c>
      <c r="I1028" s="35">
        <v>-86.88</v>
      </c>
      <c r="J1028" s="35">
        <v>181</v>
      </c>
      <c r="P1028" s="54" t="s">
        <v>180</v>
      </c>
      <c r="Q1028" s="54"/>
      <c r="R1028" s="54"/>
      <c r="S1028" s="54" t="s">
        <v>1654</v>
      </c>
      <c r="T1028" s="54" t="s">
        <v>1654</v>
      </c>
      <c r="X1028" s="35" t="s">
        <v>168</v>
      </c>
      <c r="AB1028" s="35" t="s">
        <v>1579</v>
      </c>
      <c r="AC1028" s="35" t="s">
        <v>166</v>
      </c>
      <c r="AD1028" s="153" t="str">
        <f t="shared" si="243"/>
        <v>Rye</v>
      </c>
      <c r="AE1028" s="35" t="s">
        <v>709</v>
      </c>
      <c r="AJ1028" s="35" t="s">
        <v>880</v>
      </c>
      <c r="AK1028" s="35" t="s">
        <v>880</v>
      </c>
      <c r="AL1028" s="35" t="s">
        <v>230</v>
      </c>
      <c r="AP1028" s="35" t="s">
        <v>208</v>
      </c>
      <c r="AS1028" s="35" t="s">
        <v>177</v>
      </c>
      <c r="BB1028" s="35">
        <v>3630</v>
      </c>
      <c r="BC1028" s="35">
        <v>4130</v>
      </c>
      <c r="FA1028" s="35" t="s">
        <v>882</v>
      </c>
      <c r="FC1028" s="35">
        <v>49</v>
      </c>
    </row>
    <row r="1029" spans="1:159" s="35" customFormat="1" x14ac:dyDescent="0.25">
      <c r="A1029" s="35">
        <v>49</v>
      </c>
      <c r="B1029" s="35" t="s">
        <v>875</v>
      </c>
      <c r="C1029" s="35" t="s">
        <v>876</v>
      </c>
      <c r="D1029" s="35">
        <v>2000</v>
      </c>
      <c r="E1029" s="35">
        <v>1996</v>
      </c>
      <c r="F1029" s="35" t="s">
        <v>877</v>
      </c>
      <c r="G1029" s="35" t="s">
        <v>886</v>
      </c>
      <c r="H1029" s="35">
        <v>34.69</v>
      </c>
      <c r="I1029" s="35">
        <v>-86.88</v>
      </c>
      <c r="J1029" s="35">
        <v>181</v>
      </c>
      <c r="P1029" s="54" t="s">
        <v>180</v>
      </c>
      <c r="Q1029" s="54"/>
      <c r="R1029" s="54"/>
      <c r="S1029" s="54" t="s">
        <v>1654</v>
      </c>
      <c r="T1029" s="54" t="s">
        <v>1654</v>
      </c>
      <c r="X1029" s="35" t="s">
        <v>168</v>
      </c>
      <c r="AB1029" s="35" t="s">
        <v>1579</v>
      </c>
      <c r="AC1029" s="35" t="s">
        <v>166</v>
      </c>
      <c r="AD1029" s="153" t="str">
        <f t="shared" si="243"/>
        <v>Rye</v>
      </c>
      <c r="AE1029" s="35" t="s">
        <v>709</v>
      </c>
      <c r="AJ1029" s="35" t="s">
        <v>881</v>
      </c>
      <c r="AK1029" s="35" t="s">
        <v>881</v>
      </c>
      <c r="AL1029" s="35" t="s">
        <v>230</v>
      </c>
      <c r="AP1029" s="35" t="s">
        <v>208</v>
      </c>
      <c r="AS1029" s="35" t="s">
        <v>177</v>
      </c>
      <c r="BB1029" s="35">
        <v>3820</v>
      </c>
      <c r="BC1029" s="35">
        <v>4090</v>
      </c>
      <c r="FA1029" s="35" t="s">
        <v>882</v>
      </c>
      <c r="FC1029" s="35">
        <v>49</v>
      </c>
    </row>
    <row r="1030" spans="1:159" s="35" customFormat="1" x14ac:dyDescent="0.25">
      <c r="A1030" s="35">
        <v>49</v>
      </c>
      <c r="B1030" s="35" t="s">
        <v>875</v>
      </c>
      <c r="C1030" s="35" t="s">
        <v>876</v>
      </c>
      <c r="D1030" s="35">
        <v>2000</v>
      </c>
      <c r="E1030" s="35">
        <v>1996</v>
      </c>
      <c r="F1030" s="35" t="s">
        <v>877</v>
      </c>
      <c r="G1030" s="35" t="s">
        <v>886</v>
      </c>
      <c r="H1030" s="35">
        <v>34.69</v>
      </c>
      <c r="I1030" s="35">
        <v>-86.88</v>
      </c>
      <c r="J1030" s="35">
        <v>181</v>
      </c>
      <c r="P1030" s="54" t="s">
        <v>180</v>
      </c>
      <c r="Q1030" s="54"/>
      <c r="R1030" s="54"/>
      <c r="S1030" s="54" t="s">
        <v>1654</v>
      </c>
      <c r="T1030" s="54" t="s">
        <v>1654</v>
      </c>
      <c r="X1030" s="35" t="s">
        <v>168</v>
      </c>
      <c r="AB1030" s="35" t="s">
        <v>1579</v>
      </c>
      <c r="AC1030" s="35" t="s">
        <v>166</v>
      </c>
      <c r="AD1030" s="153" t="str">
        <f t="shared" si="243"/>
        <v>Rye</v>
      </c>
      <c r="AE1030" s="35" t="s">
        <v>709</v>
      </c>
      <c r="AJ1030" s="35" t="s">
        <v>203</v>
      </c>
      <c r="AK1030" s="35" t="s">
        <v>203</v>
      </c>
      <c r="AL1030" s="35" t="s">
        <v>230</v>
      </c>
      <c r="AP1030" s="35" t="s">
        <v>208</v>
      </c>
      <c r="AS1030" s="35" t="s">
        <v>177</v>
      </c>
      <c r="BB1030" s="35">
        <v>3730</v>
      </c>
      <c r="BC1030" s="35">
        <v>3960</v>
      </c>
      <c r="CL1030" s="35">
        <v>1.59</v>
      </c>
      <c r="CM1030" s="35">
        <v>1.46</v>
      </c>
      <c r="CN1030" s="35" t="s">
        <v>1051</v>
      </c>
      <c r="FA1030" s="35" t="s">
        <v>882</v>
      </c>
      <c r="FC1030" s="35">
        <v>49</v>
      </c>
    </row>
    <row r="1031" spans="1:159" s="35" customFormat="1" x14ac:dyDescent="0.25">
      <c r="A1031" s="35">
        <v>49</v>
      </c>
      <c r="B1031" s="35" t="s">
        <v>875</v>
      </c>
      <c r="C1031" s="35" t="s">
        <v>876</v>
      </c>
      <c r="D1031" s="35">
        <v>2000</v>
      </c>
      <c r="E1031" s="35">
        <v>1996</v>
      </c>
      <c r="F1031" s="35" t="s">
        <v>877</v>
      </c>
      <c r="G1031" s="35" t="s">
        <v>886</v>
      </c>
      <c r="H1031" s="35">
        <v>34.69</v>
      </c>
      <c r="I1031" s="35">
        <v>-86.88</v>
      </c>
      <c r="J1031" s="35">
        <v>181</v>
      </c>
      <c r="P1031" s="54" t="s">
        <v>180</v>
      </c>
      <c r="Q1031" s="54"/>
      <c r="R1031" s="54"/>
      <c r="S1031" s="54" t="s">
        <v>1654</v>
      </c>
      <c r="T1031" s="54" t="s">
        <v>1654</v>
      </c>
      <c r="X1031" s="35" t="s">
        <v>168</v>
      </c>
      <c r="AB1031" s="35" t="s">
        <v>1579</v>
      </c>
      <c r="AC1031" s="35" t="s">
        <v>166</v>
      </c>
      <c r="AD1031" s="153" t="str">
        <f t="shared" si="243"/>
        <v>Rye</v>
      </c>
      <c r="AE1031" s="35" t="s">
        <v>709</v>
      </c>
      <c r="AJ1031" s="35" t="s">
        <v>289</v>
      </c>
      <c r="AK1031" s="35" t="s">
        <v>203</v>
      </c>
      <c r="AL1031" s="35" t="s">
        <v>618</v>
      </c>
      <c r="AP1031" s="35" t="s">
        <v>208</v>
      </c>
      <c r="AS1031" s="35" t="s">
        <v>177</v>
      </c>
      <c r="BB1031" s="35">
        <v>3740</v>
      </c>
      <c r="BC1031" s="35">
        <v>3960</v>
      </c>
      <c r="CL1031" s="35">
        <v>1.01</v>
      </c>
      <c r="CM1031" s="35">
        <v>1.46</v>
      </c>
      <c r="CN1031" s="35" t="s">
        <v>1051</v>
      </c>
      <c r="FA1031" s="35" t="s">
        <v>882</v>
      </c>
      <c r="FC1031" s="35">
        <v>49</v>
      </c>
    </row>
    <row r="1032" spans="1:159" s="42" customFormat="1" x14ac:dyDescent="0.25">
      <c r="A1032" s="26">
        <v>49</v>
      </c>
      <c r="B1032" s="26" t="s">
        <v>875</v>
      </c>
      <c r="C1032" s="26" t="s">
        <v>876</v>
      </c>
      <c r="D1032" s="26">
        <v>2000</v>
      </c>
      <c r="E1032" s="26">
        <v>1997</v>
      </c>
      <c r="F1032" s="26" t="s">
        <v>877</v>
      </c>
      <c r="G1032" s="26" t="s">
        <v>886</v>
      </c>
      <c r="H1032" s="26">
        <v>34.69</v>
      </c>
      <c r="I1032" s="26">
        <v>-86.88</v>
      </c>
      <c r="J1032" s="26">
        <v>181</v>
      </c>
      <c r="K1032" s="26"/>
      <c r="L1032" s="26"/>
      <c r="M1032" s="26"/>
      <c r="N1032" s="26"/>
      <c r="O1032" s="26"/>
      <c r="P1032" s="52" t="s">
        <v>181</v>
      </c>
      <c r="Q1032" s="52"/>
      <c r="R1032" s="52"/>
      <c r="S1032" s="52" t="s">
        <v>1654</v>
      </c>
      <c r="T1032" s="52" t="s">
        <v>1654</v>
      </c>
      <c r="U1032" s="26"/>
      <c r="V1032" s="26"/>
      <c r="W1032" s="26"/>
      <c r="X1032" s="26" t="s">
        <v>168</v>
      </c>
      <c r="Y1032" s="26"/>
      <c r="Z1032" s="26"/>
      <c r="AA1032" s="26"/>
      <c r="AB1032" s="26" t="s">
        <v>1579</v>
      </c>
      <c r="AC1032" s="26" t="s">
        <v>166</v>
      </c>
      <c r="AD1032" s="153" t="str">
        <f t="shared" si="243"/>
        <v>Rye</v>
      </c>
      <c r="AE1032" s="26" t="s">
        <v>709</v>
      </c>
      <c r="AF1032" s="26"/>
      <c r="AG1032" s="26"/>
      <c r="AH1032" s="26"/>
      <c r="AI1032" s="26"/>
      <c r="AJ1032" s="26" t="s">
        <v>878</v>
      </c>
      <c r="AK1032" s="26" t="s">
        <v>878</v>
      </c>
      <c r="AL1032" s="26" t="s">
        <v>230</v>
      </c>
      <c r="AM1032" s="26"/>
      <c r="AN1032" s="26"/>
      <c r="AO1032" s="26"/>
      <c r="AP1032" s="26" t="s">
        <v>208</v>
      </c>
      <c r="AQ1032" s="26"/>
      <c r="AR1032" s="26"/>
      <c r="AS1032" s="26" t="s">
        <v>177</v>
      </c>
      <c r="AT1032" s="26"/>
      <c r="AU1032" s="26"/>
      <c r="AV1032" s="26"/>
      <c r="AW1032" s="26"/>
      <c r="BB1032" s="42">
        <v>2660</v>
      </c>
      <c r="BC1032" s="42">
        <v>2790</v>
      </c>
      <c r="CL1032" s="42">
        <v>0.62</v>
      </c>
      <c r="CM1032" s="42">
        <v>0.95</v>
      </c>
      <c r="CN1032" s="26" t="s">
        <v>1051</v>
      </c>
      <c r="DS1032" s="47"/>
      <c r="DU1032" s="47"/>
      <c r="FA1032" s="26" t="s">
        <v>882</v>
      </c>
      <c r="FC1032" s="26">
        <v>49</v>
      </c>
    </row>
    <row r="1033" spans="1:159" s="42" customFormat="1" x14ac:dyDescent="0.25">
      <c r="A1033" s="26">
        <v>49</v>
      </c>
      <c r="B1033" s="26" t="s">
        <v>875</v>
      </c>
      <c r="C1033" s="26" t="s">
        <v>876</v>
      </c>
      <c r="D1033" s="26">
        <v>2000</v>
      </c>
      <c r="E1033" s="26">
        <v>1997</v>
      </c>
      <c r="F1033" s="26" t="s">
        <v>877</v>
      </c>
      <c r="G1033" s="26" t="s">
        <v>886</v>
      </c>
      <c r="H1033" s="26">
        <v>34.69</v>
      </c>
      <c r="I1033" s="26">
        <v>-86.88</v>
      </c>
      <c r="J1033" s="26">
        <v>181</v>
      </c>
      <c r="K1033" s="26"/>
      <c r="L1033" s="26"/>
      <c r="M1033" s="26"/>
      <c r="N1033" s="26"/>
      <c r="O1033" s="26"/>
      <c r="P1033" s="52" t="s">
        <v>181</v>
      </c>
      <c r="Q1033" s="52"/>
      <c r="R1033" s="52"/>
      <c r="S1033" s="52" t="s">
        <v>1654</v>
      </c>
      <c r="T1033" s="52" t="s">
        <v>1654</v>
      </c>
      <c r="U1033" s="26"/>
      <c r="V1033" s="26"/>
      <c r="W1033" s="26"/>
      <c r="X1033" s="26" t="s">
        <v>168</v>
      </c>
      <c r="Y1033" s="26"/>
      <c r="Z1033" s="26"/>
      <c r="AA1033" s="26"/>
      <c r="AB1033" s="26" t="s">
        <v>1579</v>
      </c>
      <c r="AC1033" s="26" t="s">
        <v>166</v>
      </c>
      <c r="AD1033" s="153" t="str">
        <f t="shared" si="243"/>
        <v>Rye</v>
      </c>
      <c r="AE1033" s="26" t="s">
        <v>709</v>
      </c>
      <c r="AF1033" s="26"/>
      <c r="AG1033" s="26"/>
      <c r="AH1033" s="26"/>
      <c r="AI1033" s="26"/>
      <c r="AJ1033" s="26" t="s">
        <v>879</v>
      </c>
      <c r="AK1033" s="26" t="s">
        <v>879</v>
      </c>
      <c r="AL1033" s="26" t="s">
        <v>230</v>
      </c>
      <c r="AM1033" s="26"/>
      <c r="AN1033" s="26"/>
      <c r="AO1033" s="26"/>
      <c r="AP1033" s="26" t="s">
        <v>208</v>
      </c>
      <c r="AQ1033" s="26"/>
      <c r="AR1033" s="26"/>
      <c r="AS1033" s="26" t="s">
        <v>177</v>
      </c>
      <c r="AT1033" s="26"/>
      <c r="AU1033" s="26"/>
      <c r="AV1033" s="26"/>
      <c r="AW1033" s="26"/>
      <c r="BB1033" s="42">
        <v>2420</v>
      </c>
      <c r="BC1033" s="42">
        <v>2750</v>
      </c>
      <c r="CL1033" s="42">
        <v>0.52</v>
      </c>
      <c r="CM1033" s="42">
        <v>0.7</v>
      </c>
      <c r="CN1033" s="26" t="s">
        <v>1051</v>
      </c>
      <c r="DS1033" s="47"/>
      <c r="DU1033" s="47"/>
      <c r="FA1033" s="26" t="s">
        <v>882</v>
      </c>
      <c r="FC1033" s="26">
        <v>49</v>
      </c>
    </row>
    <row r="1034" spans="1:159" s="42" customFormat="1" x14ac:dyDescent="0.25">
      <c r="A1034" s="26">
        <v>49</v>
      </c>
      <c r="B1034" s="26" t="s">
        <v>875</v>
      </c>
      <c r="C1034" s="26" t="s">
        <v>876</v>
      </c>
      <c r="D1034" s="26">
        <v>2000</v>
      </c>
      <c r="E1034" s="26">
        <v>1997</v>
      </c>
      <c r="F1034" s="26" t="s">
        <v>877</v>
      </c>
      <c r="G1034" s="26" t="s">
        <v>886</v>
      </c>
      <c r="H1034" s="26">
        <v>34.69</v>
      </c>
      <c r="I1034" s="26">
        <v>-86.88</v>
      </c>
      <c r="J1034" s="26">
        <v>181</v>
      </c>
      <c r="K1034" s="26"/>
      <c r="L1034" s="26"/>
      <c r="M1034" s="26"/>
      <c r="N1034" s="26"/>
      <c r="O1034" s="26"/>
      <c r="P1034" s="52" t="s">
        <v>181</v>
      </c>
      <c r="Q1034" s="52"/>
      <c r="R1034" s="52"/>
      <c r="S1034" s="52" t="s">
        <v>1654</v>
      </c>
      <c r="T1034" s="52" t="s">
        <v>1654</v>
      </c>
      <c r="U1034" s="26"/>
      <c r="V1034" s="26"/>
      <c r="W1034" s="26"/>
      <c r="X1034" s="26" t="s">
        <v>168</v>
      </c>
      <c r="Y1034" s="26"/>
      <c r="Z1034" s="26"/>
      <c r="AA1034" s="26"/>
      <c r="AB1034" s="26" t="s">
        <v>1579</v>
      </c>
      <c r="AC1034" s="26" t="s">
        <v>166</v>
      </c>
      <c r="AD1034" s="153" t="str">
        <f t="shared" si="243"/>
        <v>Rye</v>
      </c>
      <c r="AE1034" s="26" t="s">
        <v>709</v>
      </c>
      <c r="AF1034" s="26"/>
      <c r="AG1034" s="26"/>
      <c r="AH1034" s="26"/>
      <c r="AI1034" s="26"/>
      <c r="AJ1034" s="26" t="s">
        <v>880</v>
      </c>
      <c r="AK1034" s="26" t="s">
        <v>880</v>
      </c>
      <c r="AL1034" s="26" t="s">
        <v>230</v>
      </c>
      <c r="AM1034" s="26"/>
      <c r="AN1034" s="26"/>
      <c r="AO1034" s="26"/>
      <c r="AP1034" s="26" t="s">
        <v>208</v>
      </c>
      <c r="AQ1034" s="26"/>
      <c r="AR1034" s="26"/>
      <c r="AS1034" s="26" t="s">
        <v>177</v>
      </c>
      <c r="AT1034" s="26"/>
      <c r="AU1034" s="26"/>
      <c r="AV1034" s="26"/>
      <c r="AW1034" s="26"/>
      <c r="BB1034" s="42">
        <v>2710</v>
      </c>
      <c r="BC1034" s="42">
        <v>3360</v>
      </c>
      <c r="CN1034" s="26"/>
      <c r="DS1034" s="47"/>
      <c r="DU1034" s="47"/>
      <c r="FA1034" s="26" t="s">
        <v>882</v>
      </c>
      <c r="FC1034" s="26">
        <v>49</v>
      </c>
    </row>
    <row r="1035" spans="1:159" s="42" customFormat="1" x14ac:dyDescent="0.25">
      <c r="A1035" s="26">
        <v>49</v>
      </c>
      <c r="B1035" s="26" t="s">
        <v>875</v>
      </c>
      <c r="C1035" s="26" t="s">
        <v>876</v>
      </c>
      <c r="D1035" s="26">
        <v>2000</v>
      </c>
      <c r="E1035" s="26">
        <v>1997</v>
      </c>
      <c r="F1035" s="26" t="s">
        <v>877</v>
      </c>
      <c r="G1035" s="26" t="s">
        <v>886</v>
      </c>
      <c r="H1035" s="26">
        <v>34.69</v>
      </c>
      <c r="I1035" s="26">
        <v>-86.88</v>
      </c>
      <c r="J1035" s="26">
        <v>181</v>
      </c>
      <c r="K1035" s="26"/>
      <c r="L1035" s="26"/>
      <c r="M1035" s="26"/>
      <c r="N1035" s="26"/>
      <c r="O1035" s="26"/>
      <c r="P1035" s="52" t="s">
        <v>181</v>
      </c>
      <c r="Q1035" s="52"/>
      <c r="R1035" s="52"/>
      <c r="S1035" s="52" t="s">
        <v>1654</v>
      </c>
      <c r="T1035" s="52" t="s">
        <v>1654</v>
      </c>
      <c r="U1035" s="26"/>
      <c r="V1035" s="26"/>
      <c r="W1035" s="26"/>
      <c r="X1035" s="26" t="s">
        <v>168</v>
      </c>
      <c r="Y1035" s="26"/>
      <c r="Z1035" s="26"/>
      <c r="AA1035" s="26"/>
      <c r="AB1035" s="26" t="s">
        <v>1579</v>
      </c>
      <c r="AC1035" s="26" t="s">
        <v>166</v>
      </c>
      <c r="AD1035" s="153" t="str">
        <f t="shared" si="243"/>
        <v>Rye</v>
      </c>
      <c r="AE1035" s="26" t="s">
        <v>709</v>
      </c>
      <c r="AF1035" s="26"/>
      <c r="AG1035" s="26"/>
      <c r="AH1035" s="26"/>
      <c r="AI1035" s="26"/>
      <c r="AJ1035" s="26" t="s">
        <v>881</v>
      </c>
      <c r="AK1035" s="26" t="s">
        <v>881</v>
      </c>
      <c r="AL1035" s="26" t="s">
        <v>230</v>
      </c>
      <c r="AM1035" s="26"/>
      <c r="AN1035" s="26"/>
      <c r="AO1035" s="26"/>
      <c r="AP1035" s="26" t="s">
        <v>208</v>
      </c>
      <c r="AQ1035" s="26"/>
      <c r="AR1035" s="26"/>
      <c r="AS1035" s="26" t="s">
        <v>177</v>
      </c>
      <c r="AT1035" s="26"/>
      <c r="AU1035" s="26"/>
      <c r="AV1035" s="26"/>
      <c r="AW1035" s="26"/>
      <c r="BB1035" s="42">
        <v>2680</v>
      </c>
      <c r="BC1035" s="42">
        <v>3010</v>
      </c>
      <c r="CN1035" s="26"/>
      <c r="DS1035" s="47"/>
      <c r="DU1035" s="47"/>
      <c r="FA1035" s="26" t="s">
        <v>882</v>
      </c>
      <c r="FC1035" s="26">
        <v>49</v>
      </c>
    </row>
    <row r="1036" spans="1:159" s="42" customFormat="1" x14ac:dyDescent="0.25">
      <c r="A1036" s="26">
        <v>49</v>
      </c>
      <c r="B1036" s="26" t="s">
        <v>875</v>
      </c>
      <c r="C1036" s="26" t="s">
        <v>876</v>
      </c>
      <c r="D1036" s="26">
        <v>2000</v>
      </c>
      <c r="E1036" s="26">
        <v>1997</v>
      </c>
      <c r="F1036" s="26" t="s">
        <v>877</v>
      </c>
      <c r="G1036" s="26" t="s">
        <v>886</v>
      </c>
      <c r="H1036" s="26">
        <v>34.69</v>
      </c>
      <c r="I1036" s="26">
        <v>-86.88</v>
      </c>
      <c r="J1036" s="26">
        <v>181</v>
      </c>
      <c r="K1036" s="26"/>
      <c r="L1036" s="26"/>
      <c r="M1036" s="26"/>
      <c r="N1036" s="26"/>
      <c r="O1036" s="26"/>
      <c r="P1036" s="52" t="s">
        <v>181</v>
      </c>
      <c r="Q1036" s="52"/>
      <c r="R1036" s="52"/>
      <c r="S1036" s="52" t="s">
        <v>1654</v>
      </c>
      <c r="T1036" s="52" t="s">
        <v>1654</v>
      </c>
      <c r="U1036" s="26"/>
      <c r="V1036" s="26"/>
      <c r="W1036" s="26"/>
      <c r="X1036" s="26" t="s">
        <v>168</v>
      </c>
      <c r="Y1036" s="26"/>
      <c r="Z1036" s="26"/>
      <c r="AA1036" s="26"/>
      <c r="AB1036" s="26" t="s">
        <v>1579</v>
      </c>
      <c r="AC1036" s="26" t="s">
        <v>166</v>
      </c>
      <c r="AD1036" s="153" t="str">
        <f t="shared" si="243"/>
        <v>Rye</v>
      </c>
      <c r="AE1036" s="26" t="s">
        <v>709</v>
      </c>
      <c r="AF1036" s="26"/>
      <c r="AG1036" s="26"/>
      <c r="AH1036" s="26"/>
      <c r="AI1036" s="26"/>
      <c r="AJ1036" s="26" t="s">
        <v>203</v>
      </c>
      <c r="AK1036" s="26" t="s">
        <v>203</v>
      </c>
      <c r="AL1036" s="26" t="s">
        <v>230</v>
      </c>
      <c r="AM1036" s="26"/>
      <c r="AN1036" s="26"/>
      <c r="AO1036" s="26"/>
      <c r="AP1036" s="26" t="s">
        <v>208</v>
      </c>
      <c r="AQ1036" s="26"/>
      <c r="AR1036" s="26"/>
      <c r="AS1036" s="26" t="s">
        <v>177</v>
      </c>
      <c r="AT1036" s="26"/>
      <c r="AU1036" s="26"/>
      <c r="AV1036" s="26"/>
      <c r="AW1036" s="26"/>
      <c r="BB1036" s="42">
        <v>2880</v>
      </c>
      <c r="BC1036" s="42">
        <v>3180</v>
      </c>
      <c r="CL1036" s="42">
        <v>1.47</v>
      </c>
      <c r="CM1036" s="42">
        <v>1.53</v>
      </c>
      <c r="CN1036" s="26" t="s">
        <v>1051</v>
      </c>
      <c r="DS1036" s="47"/>
      <c r="DU1036" s="47"/>
      <c r="FA1036" s="26" t="s">
        <v>882</v>
      </c>
      <c r="FC1036" s="26">
        <v>49</v>
      </c>
    </row>
    <row r="1037" spans="1:159" s="42" customFormat="1" x14ac:dyDescent="0.25">
      <c r="A1037" s="26">
        <v>49</v>
      </c>
      <c r="B1037" s="26" t="s">
        <v>875</v>
      </c>
      <c r="C1037" s="26" t="s">
        <v>876</v>
      </c>
      <c r="D1037" s="26">
        <v>2000</v>
      </c>
      <c r="E1037" s="26">
        <v>1997</v>
      </c>
      <c r="F1037" s="26" t="s">
        <v>877</v>
      </c>
      <c r="G1037" s="26" t="s">
        <v>886</v>
      </c>
      <c r="H1037" s="26">
        <v>34.69</v>
      </c>
      <c r="I1037" s="26">
        <v>-86.88</v>
      </c>
      <c r="J1037" s="26">
        <v>181</v>
      </c>
      <c r="K1037" s="26"/>
      <c r="L1037" s="26"/>
      <c r="M1037" s="26"/>
      <c r="N1037" s="26"/>
      <c r="O1037" s="26"/>
      <c r="P1037" s="52" t="s">
        <v>181</v>
      </c>
      <c r="Q1037" s="52"/>
      <c r="R1037" s="52"/>
      <c r="S1037" s="52" t="s">
        <v>1654</v>
      </c>
      <c r="T1037" s="52" t="s">
        <v>1654</v>
      </c>
      <c r="U1037" s="26"/>
      <c r="V1037" s="26"/>
      <c r="W1037" s="26"/>
      <c r="X1037" s="26" t="s">
        <v>168</v>
      </c>
      <c r="Y1037" s="26"/>
      <c r="Z1037" s="26"/>
      <c r="AA1037" s="26"/>
      <c r="AB1037" s="26" t="s">
        <v>1579</v>
      </c>
      <c r="AC1037" s="26" t="s">
        <v>166</v>
      </c>
      <c r="AD1037" s="153" t="str">
        <f t="shared" si="243"/>
        <v>Rye</v>
      </c>
      <c r="AE1037" s="26" t="s">
        <v>709</v>
      </c>
      <c r="AF1037" s="26"/>
      <c r="AG1037" s="26"/>
      <c r="AH1037" s="26"/>
      <c r="AI1037" s="26"/>
      <c r="AJ1037" s="26" t="s">
        <v>289</v>
      </c>
      <c r="AK1037" s="26" t="s">
        <v>203</v>
      </c>
      <c r="AL1037" s="26" t="s">
        <v>618</v>
      </c>
      <c r="AM1037" s="26"/>
      <c r="AN1037" s="26"/>
      <c r="AO1037" s="26"/>
      <c r="AP1037" s="26" t="s">
        <v>208</v>
      </c>
      <c r="AQ1037" s="26"/>
      <c r="AR1037" s="26"/>
      <c r="AS1037" s="26" t="s">
        <v>177</v>
      </c>
      <c r="AT1037" s="26"/>
      <c r="AU1037" s="26"/>
      <c r="AV1037" s="26"/>
      <c r="AW1037" s="26"/>
      <c r="BB1037" s="42">
        <v>3160</v>
      </c>
      <c r="BC1037" s="42">
        <v>3180</v>
      </c>
      <c r="CL1037" s="42">
        <v>0.96</v>
      </c>
      <c r="CM1037" s="42">
        <v>1.53</v>
      </c>
      <c r="CN1037" s="26" t="s">
        <v>1051</v>
      </c>
      <c r="DS1037" s="47"/>
      <c r="DU1037" s="47"/>
      <c r="FA1037" s="26" t="s">
        <v>882</v>
      </c>
      <c r="FC1037" s="26">
        <v>49</v>
      </c>
    </row>
    <row r="1038" spans="1:159" s="35" customFormat="1" x14ac:dyDescent="0.25">
      <c r="A1038" s="35">
        <v>49</v>
      </c>
      <c r="B1038" s="35" t="s">
        <v>875</v>
      </c>
      <c r="C1038" s="35" t="s">
        <v>876</v>
      </c>
      <c r="D1038" s="35">
        <v>2000</v>
      </c>
      <c r="E1038" s="35">
        <v>1998</v>
      </c>
      <c r="F1038" s="35" t="s">
        <v>877</v>
      </c>
      <c r="G1038" s="35" t="s">
        <v>886</v>
      </c>
      <c r="H1038" s="35">
        <v>34.69</v>
      </c>
      <c r="I1038" s="35">
        <v>-86.88</v>
      </c>
      <c r="J1038" s="35">
        <v>181</v>
      </c>
      <c r="P1038" s="54" t="s">
        <v>182</v>
      </c>
      <c r="Q1038" s="54"/>
      <c r="R1038" s="54"/>
      <c r="S1038" s="54" t="s">
        <v>1654</v>
      </c>
      <c r="T1038" s="54" t="s">
        <v>1654</v>
      </c>
      <c r="X1038" s="35" t="s">
        <v>168</v>
      </c>
      <c r="AB1038" s="35" t="s">
        <v>1579</v>
      </c>
      <c r="AC1038" s="35" t="s">
        <v>166</v>
      </c>
      <c r="AD1038" s="153" t="str">
        <f t="shared" si="243"/>
        <v>Rye</v>
      </c>
      <c r="AE1038" s="35" t="s">
        <v>709</v>
      </c>
      <c r="AJ1038" s="35" t="s">
        <v>878</v>
      </c>
      <c r="AK1038" s="35" t="s">
        <v>878</v>
      </c>
      <c r="AL1038" s="35" t="s">
        <v>230</v>
      </c>
      <c r="AP1038" s="35" t="s">
        <v>208</v>
      </c>
      <c r="AS1038" s="35" t="s">
        <v>177</v>
      </c>
      <c r="BB1038" s="35">
        <v>2510</v>
      </c>
      <c r="BC1038" s="35">
        <v>2870</v>
      </c>
      <c r="CL1038" s="35">
        <v>0.73</v>
      </c>
      <c r="CM1038" s="35">
        <v>0.48</v>
      </c>
      <c r="CN1038" s="35" t="s">
        <v>1051</v>
      </c>
      <c r="FA1038" s="35" t="s">
        <v>882</v>
      </c>
      <c r="FC1038" s="35">
        <v>49</v>
      </c>
    </row>
    <row r="1039" spans="1:159" s="35" customFormat="1" x14ac:dyDescent="0.25">
      <c r="A1039" s="35">
        <v>49</v>
      </c>
      <c r="B1039" s="35" t="s">
        <v>875</v>
      </c>
      <c r="C1039" s="35" t="s">
        <v>876</v>
      </c>
      <c r="D1039" s="35">
        <v>2000</v>
      </c>
      <c r="E1039" s="35">
        <v>1998</v>
      </c>
      <c r="F1039" s="35" t="s">
        <v>877</v>
      </c>
      <c r="G1039" s="35" t="s">
        <v>886</v>
      </c>
      <c r="H1039" s="35">
        <v>34.69</v>
      </c>
      <c r="I1039" s="35">
        <v>-86.88</v>
      </c>
      <c r="J1039" s="35">
        <v>181</v>
      </c>
      <c r="P1039" s="54" t="s">
        <v>182</v>
      </c>
      <c r="Q1039" s="54"/>
      <c r="R1039" s="54"/>
      <c r="S1039" s="54" t="s">
        <v>1654</v>
      </c>
      <c r="T1039" s="54" t="s">
        <v>1654</v>
      </c>
      <c r="X1039" s="35" t="s">
        <v>168</v>
      </c>
      <c r="AB1039" s="35" t="s">
        <v>1579</v>
      </c>
      <c r="AC1039" s="35" t="s">
        <v>166</v>
      </c>
      <c r="AD1039" s="153" t="str">
        <f t="shared" si="243"/>
        <v>Rye</v>
      </c>
      <c r="AE1039" s="35" t="s">
        <v>709</v>
      </c>
      <c r="AJ1039" s="35" t="s">
        <v>879</v>
      </c>
      <c r="AK1039" s="35" t="s">
        <v>879</v>
      </c>
      <c r="AL1039" s="35" t="s">
        <v>230</v>
      </c>
      <c r="AP1039" s="35" t="s">
        <v>208</v>
      </c>
      <c r="AS1039" s="35" t="s">
        <v>177</v>
      </c>
      <c r="BB1039" s="35">
        <v>2240</v>
      </c>
      <c r="BC1039" s="35">
        <v>2640</v>
      </c>
      <c r="CL1039" s="35">
        <v>0.56999999999999995</v>
      </c>
      <c r="CM1039" s="35">
        <v>0.56999999999999995</v>
      </c>
      <c r="CN1039" s="35" t="s">
        <v>1051</v>
      </c>
      <c r="FA1039" s="35" t="s">
        <v>882</v>
      </c>
      <c r="FC1039" s="35">
        <v>49</v>
      </c>
    </row>
    <row r="1040" spans="1:159" s="35" customFormat="1" x14ac:dyDescent="0.25">
      <c r="A1040" s="35">
        <v>49</v>
      </c>
      <c r="B1040" s="35" t="s">
        <v>875</v>
      </c>
      <c r="C1040" s="35" t="s">
        <v>876</v>
      </c>
      <c r="D1040" s="35">
        <v>2000</v>
      </c>
      <c r="E1040" s="35">
        <v>1998</v>
      </c>
      <c r="F1040" s="35" t="s">
        <v>877</v>
      </c>
      <c r="G1040" s="35" t="s">
        <v>886</v>
      </c>
      <c r="H1040" s="35">
        <v>34.69</v>
      </c>
      <c r="I1040" s="35">
        <v>-86.88</v>
      </c>
      <c r="J1040" s="35">
        <v>181</v>
      </c>
      <c r="P1040" s="54" t="s">
        <v>182</v>
      </c>
      <c r="Q1040" s="54"/>
      <c r="R1040" s="54"/>
      <c r="S1040" s="54" t="s">
        <v>1654</v>
      </c>
      <c r="T1040" s="54" t="s">
        <v>1654</v>
      </c>
      <c r="X1040" s="35" t="s">
        <v>168</v>
      </c>
      <c r="AB1040" s="35" t="s">
        <v>1579</v>
      </c>
      <c r="AC1040" s="35" t="s">
        <v>166</v>
      </c>
      <c r="AD1040" s="153" t="str">
        <f t="shared" si="243"/>
        <v>Rye</v>
      </c>
      <c r="AE1040" s="35" t="s">
        <v>709</v>
      </c>
      <c r="AJ1040" s="35" t="s">
        <v>880</v>
      </c>
      <c r="AK1040" s="35" t="s">
        <v>880</v>
      </c>
      <c r="AL1040" s="35" t="s">
        <v>230</v>
      </c>
      <c r="AP1040" s="35" t="s">
        <v>208</v>
      </c>
      <c r="AS1040" s="35" t="s">
        <v>177</v>
      </c>
      <c r="BB1040" s="35">
        <v>2410</v>
      </c>
      <c r="BC1040" s="35">
        <v>2830</v>
      </c>
      <c r="FA1040" s="35" t="s">
        <v>882</v>
      </c>
      <c r="FC1040" s="35">
        <v>49</v>
      </c>
    </row>
    <row r="1041" spans="1:159" s="35" customFormat="1" x14ac:dyDescent="0.25">
      <c r="A1041" s="35">
        <v>49</v>
      </c>
      <c r="B1041" s="35" t="s">
        <v>875</v>
      </c>
      <c r="C1041" s="35" t="s">
        <v>876</v>
      </c>
      <c r="D1041" s="35">
        <v>2000</v>
      </c>
      <c r="E1041" s="35">
        <v>1998</v>
      </c>
      <c r="F1041" s="35" t="s">
        <v>877</v>
      </c>
      <c r="G1041" s="35" t="s">
        <v>886</v>
      </c>
      <c r="H1041" s="35">
        <v>34.69</v>
      </c>
      <c r="I1041" s="35">
        <v>-86.88</v>
      </c>
      <c r="J1041" s="35">
        <v>181</v>
      </c>
      <c r="P1041" s="54" t="s">
        <v>182</v>
      </c>
      <c r="Q1041" s="54"/>
      <c r="R1041" s="54"/>
      <c r="S1041" s="54" t="s">
        <v>1654</v>
      </c>
      <c r="T1041" s="54" t="s">
        <v>1654</v>
      </c>
      <c r="X1041" s="35" t="s">
        <v>168</v>
      </c>
      <c r="AB1041" s="35" t="s">
        <v>1579</v>
      </c>
      <c r="AC1041" s="35" t="s">
        <v>166</v>
      </c>
      <c r="AD1041" s="153" t="str">
        <f t="shared" si="243"/>
        <v>Rye</v>
      </c>
      <c r="AE1041" s="35" t="s">
        <v>709</v>
      </c>
      <c r="AJ1041" s="35" t="s">
        <v>881</v>
      </c>
      <c r="AK1041" s="35" t="s">
        <v>881</v>
      </c>
      <c r="AL1041" s="35" t="s">
        <v>230</v>
      </c>
      <c r="AP1041" s="35" t="s">
        <v>208</v>
      </c>
      <c r="AS1041" s="35" t="s">
        <v>177</v>
      </c>
      <c r="BB1041" s="35">
        <v>2370</v>
      </c>
      <c r="BC1041" s="35">
        <v>2780</v>
      </c>
      <c r="FA1041" s="35" t="s">
        <v>882</v>
      </c>
      <c r="FC1041" s="35">
        <v>49</v>
      </c>
    </row>
    <row r="1042" spans="1:159" s="35" customFormat="1" x14ac:dyDescent="0.25">
      <c r="A1042" s="35">
        <v>49</v>
      </c>
      <c r="B1042" s="35" t="s">
        <v>875</v>
      </c>
      <c r="C1042" s="35" t="s">
        <v>876</v>
      </c>
      <c r="D1042" s="35">
        <v>2000</v>
      </c>
      <c r="E1042" s="35">
        <v>1998</v>
      </c>
      <c r="F1042" s="35" t="s">
        <v>877</v>
      </c>
      <c r="G1042" s="35" t="s">
        <v>886</v>
      </c>
      <c r="H1042" s="35">
        <v>34.69</v>
      </c>
      <c r="I1042" s="35">
        <v>-86.88</v>
      </c>
      <c r="J1042" s="35">
        <v>181</v>
      </c>
      <c r="P1042" s="54" t="s">
        <v>182</v>
      </c>
      <c r="Q1042" s="54"/>
      <c r="R1042" s="54"/>
      <c r="S1042" s="54" t="s">
        <v>1654</v>
      </c>
      <c r="T1042" s="54" t="s">
        <v>1654</v>
      </c>
      <c r="X1042" s="35" t="s">
        <v>168</v>
      </c>
      <c r="AB1042" s="35" t="s">
        <v>1579</v>
      </c>
      <c r="AC1042" s="35" t="s">
        <v>166</v>
      </c>
      <c r="AD1042" s="153" t="str">
        <f t="shared" si="243"/>
        <v>Rye</v>
      </c>
      <c r="AE1042" s="35" t="s">
        <v>709</v>
      </c>
      <c r="AJ1042" s="35" t="s">
        <v>203</v>
      </c>
      <c r="AK1042" s="35" t="s">
        <v>203</v>
      </c>
      <c r="AL1042" s="35" t="s">
        <v>230</v>
      </c>
      <c r="AP1042" s="35" t="s">
        <v>208</v>
      </c>
      <c r="AS1042" s="35" t="s">
        <v>177</v>
      </c>
      <c r="BB1042" s="35">
        <v>2620</v>
      </c>
      <c r="BC1042" s="35">
        <v>2830</v>
      </c>
      <c r="CL1042" s="35">
        <v>1.49</v>
      </c>
      <c r="CM1042" s="35">
        <v>1.55</v>
      </c>
      <c r="CN1042" s="35" t="s">
        <v>1051</v>
      </c>
      <c r="FA1042" s="35" t="s">
        <v>882</v>
      </c>
      <c r="FC1042" s="35">
        <v>49</v>
      </c>
    </row>
    <row r="1043" spans="1:159" s="35" customFormat="1" x14ac:dyDescent="0.25">
      <c r="A1043" s="35">
        <v>49</v>
      </c>
      <c r="B1043" s="35" t="s">
        <v>875</v>
      </c>
      <c r="C1043" s="35" t="s">
        <v>876</v>
      </c>
      <c r="D1043" s="35">
        <v>2000</v>
      </c>
      <c r="E1043" s="35">
        <v>1998</v>
      </c>
      <c r="F1043" s="35" t="s">
        <v>877</v>
      </c>
      <c r="G1043" s="35" t="s">
        <v>886</v>
      </c>
      <c r="H1043" s="35">
        <v>34.69</v>
      </c>
      <c r="I1043" s="35">
        <v>-86.88</v>
      </c>
      <c r="J1043" s="35">
        <v>181</v>
      </c>
      <c r="P1043" s="54" t="s">
        <v>182</v>
      </c>
      <c r="Q1043" s="54"/>
      <c r="R1043" s="54"/>
      <c r="S1043" s="54" t="s">
        <v>1654</v>
      </c>
      <c r="T1043" s="54" t="s">
        <v>1654</v>
      </c>
      <c r="X1043" s="35" t="s">
        <v>168</v>
      </c>
      <c r="AB1043" s="35" t="s">
        <v>1579</v>
      </c>
      <c r="AC1043" s="35" t="s">
        <v>166</v>
      </c>
      <c r="AD1043" s="153" t="str">
        <f t="shared" si="243"/>
        <v>Rye</v>
      </c>
      <c r="AE1043" s="35" t="s">
        <v>709</v>
      </c>
      <c r="AJ1043" s="35" t="s">
        <v>289</v>
      </c>
      <c r="AK1043" s="35" t="s">
        <v>203</v>
      </c>
      <c r="AL1043" s="35" t="s">
        <v>618</v>
      </c>
      <c r="AP1043" s="35" t="s">
        <v>208</v>
      </c>
      <c r="AS1043" s="35" t="s">
        <v>177</v>
      </c>
      <c r="BB1043" s="35">
        <v>2480</v>
      </c>
      <c r="BC1043" s="35">
        <v>2830</v>
      </c>
      <c r="CL1043" s="35">
        <v>1.01</v>
      </c>
      <c r="CM1043" s="35">
        <v>1.55</v>
      </c>
      <c r="CN1043" s="35" t="s">
        <v>1051</v>
      </c>
      <c r="FA1043" s="35" t="s">
        <v>882</v>
      </c>
      <c r="FC1043" s="35">
        <v>49</v>
      </c>
    </row>
    <row r="1044" spans="1:159" s="5" customFormat="1" x14ac:dyDescent="0.25">
      <c r="A1044" s="5">
        <v>50</v>
      </c>
      <c r="B1044" s="5" t="s">
        <v>883</v>
      </c>
      <c r="C1044" s="5" t="s">
        <v>884</v>
      </c>
      <c r="D1044" s="5">
        <v>2000</v>
      </c>
      <c r="E1044" s="5">
        <v>1995</v>
      </c>
      <c r="F1044" s="5" t="s">
        <v>885</v>
      </c>
      <c r="H1044" s="5">
        <v>41.84</v>
      </c>
      <c r="I1044" s="5">
        <v>-85.68</v>
      </c>
      <c r="J1044" s="5">
        <v>244</v>
      </c>
      <c r="P1044" s="62" t="s">
        <v>179</v>
      </c>
      <c r="Q1044" s="62"/>
      <c r="R1044" s="62"/>
      <c r="S1044" s="62" t="s">
        <v>1665</v>
      </c>
      <c r="T1044" s="62" t="s">
        <v>1682</v>
      </c>
      <c r="X1044" s="5" t="s">
        <v>298</v>
      </c>
      <c r="AB1044" s="5" t="s">
        <v>1580</v>
      </c>
      <c r="AC1044" s="5" t="s">
        <v>166</v>
      </c>
      <c r="AD1044" s="153" t="str">
        <f t="shared" si="243"/>
        <v>Rye</v>
      </c>
      <c r="AE1044" s="5" t="s">
        <v>167</v>
      </c>
      <c r="AM1044" s="5" t="s">
        <v>887</v>
      </c>
      <c r="AN1044" s="5" t="s">
        <v>887</v>
      </c>
      <c r="AO1044" s="5" t="s">
        <v>230</v>
      </c>
      <c r="AP1044" s="5" t="s">
        <v>208</v>
      </c>
      <c r="AW1044" s="64"/>
      <c r="AX1044" s="5" t="s">
        <v>889</v>
      </c>
      <c r="BB1044" s="5">
        <v>1308</v>
      </c>
      <c r="BC1044" s="5">
        <v>1188</v>
      </c>
      <c r="BK1044" s="5">
        <v>3.66</v>
      </c>
      <c r="BL1044" s="5">
        <v>1.62</v>
      </c>
      <c r="BM1044" s="5" t="s">
        <v>891</v>
      </c>
      <c r="DA1044" s="5">
        <v>92.38</v>
      </c>
      <c r="DB1044" s="5">
        <v>66.83</v>
      </c>
      <c r="DC1044" s="5" t="s">
        <v>895</v>
      </c>
      <c r="DS1044" s="46"/>
      <c r="DU1044" s="46"/>
      <c r="FA1044" s="5" t="s">
        <v>890</v>
      </c>
      <c r="FC1044" s="5">
        <v>50</v>
      </c>
    </row>
    <row r="1045" spans="1:159" s="5" customFormat="1" x14ac:dyDescent="0.25">
      <c r="A1045" s="5">
        <v>50</v>
      </c>
      <c r="B1045" s="5" t="s">
        <v>883</v>
      </c>
      <c r="C1045" s="5" t="s">
        <v>884</v>
      </c>
      <c r="D1045" s="5">
        <v>2000</v>
      </c>
      <c r="E1045" s="5">
        <v>1995</v>
      </c>
      <c r="F1045" s="5" t="s">
        <v>885</v>
      </c>
      <c r="H1045" s="5">
        <v>41.84</v>
      </c>
      <c r="I1045" s="5">
        <v>-85.68</v>
      </c>
      <c r="J1045" s="5">
        <v>244</v>
      </c>
      <c r="P1045" s="62" t="s">
        <v>179</v>
      </c>
      <c r="Q1045" s="62"/>
      <c r="R1045" s="62"/>
      <c r="S1045" s="62" t="s">
        <v>1665</v>
      </c>
      <c r="T1045" s="62" t="s">
        <v>1682</v>
      </c>
      <c r="X1045" s="5" t="s">
        <v>298</v>
      </c>
      <c r="AB1045" s="5" t="s">
        <v>1580</v>
      </c>
      <c r="AC1045" s="5" t="s">
        <v>166</v>
      </c>
      <c r="AD1045" s="153" t="str">
        <f t="shared" si="243"/>
        <v>Rye</v>
      </c>
      <c r="AE1045" s="5" t="s">
        <v>167</v>
      </c>
      <c r="AM1045" s="5" t="s">
        <v>888</v>
      </c>
      <c r="AN1045" s="5" t="s">
        <v>888</v>
      </c>
      <c r="AO1045" s="5" t="s">
        <v>230</v>
      </c>
      <c r="AP1045" s="5" t="s">
        <v>208</v>
      </c>
      <c r="AW1045" s="64"/>
      <c r="AX1045" s="5" t="s">
        <v>889</v>
      </c>
      <c r="BB1045" s="5">
        <v>1167</v>
      </c>
      <c r="BC1045" s="5">
        <v>1156</v>
      </c>
      <c r="BK1045" s="5">
        <v>2.5299999999999998</v>
      </c>
      <c r="BL1045" s="5">
        <v>2.78</v>
      </c>
      <c r="BM1045" s="5" t="s">
        <v>891</v>
      </c>
      <c r="DS1045" s="46"/>
      <c r="DU1045" s="46"/>
      <c r="FA1045" s="5" t="s">
        <v>890</v>
      </c>
      <c r="FC1045" s="5">
        <v>50</v>
      </c>
    </row>
    <row r="1046" spans="1:159" s="31" customFormat="1" x14ac:dyDescent="0.25">
      <c r="A1046" s="31">
        <v>50</v>
      </c>
      <c r="B1046" s="31" t="s">
        <v>883</v>
      </c>
      <c r="C1046" s="31" t="s">
        <v>884</v>
      </c>
      <c r="D1046" s="31">
        <v>2000</v>
      </c>
      <c r="E1046" s="31">
        <v>1996</v>
      </c>
      <c r="F1046" s="31" t="s">
        <v>885</v>
      </c>
      <c r="H1046" s="31">
        <v>41.84</v>
      </c>
      <c r="I1046" s="31">
        <v>-85.68</v>
      </c>
      <c r="J1046" s="31">
        <v>244</v>
      </c>
      <c r="P1046" s="56" t="s">
        <v>180</v>
      </c>
      <c r="Q1046" s="56"/>
      <c r="R1046" s="56"/>
      <c r="S1046" s="56" t="s">
        <v>1665</v>
      </c>
      <c r="T1046" s="56" t="s">
        <v>1682</v>
      </c>
      <c r="X1046" s="31" t="s">
        <v>298</v>
      </c>
      <c r="AB1046" s="31" t="s">
        <v>1580</v>
      </c>
      <c r="AC1046" s="31" t="s">
        <v>166</v>
      </c>
      <c r="AD1046" s="153" t="str">
        <f t="shared" si="243"/>
        <v>Rye</v>
      </c>
      <c r="AE1046" s="31" t="s">
        <v>167</v>
      </c>
      <c r="AM1046" s="31" t="s">
        <v>887</v>
      </c>
      <c r="AN1046" s="31" t="s">
        <v>887</v>
      </c>
      <c r="AO1046" s="31" t="s">
        <v>230</v>
      </c>
      <c r="AP1046" s="31" t="s">
        <v>208</v>
      </c>
      <c r="AU1046" s="31">
        <v>754</v>
      </c>
      <c r="AV1046" s="31">
        <f>AU1046/20</f>
        <v>37.700000000000003</v>
      </c>
      <c r="AX1046" s="5" t="s">
        <v>889</v>
      </c>
      <c r="BB1046" s="31">
        <v>5047</v>
      </c>
      <c r="BC1046" s="31">
        <v>5328</v>
      </c>
      <c r="BK1046" s="31">
        <v>2.71</v>
      </c>
      <c r="BL1046" s="31">
        <v>3.21</v>
      </c>
      <c r="BM1046" s="31" t="s">
        <v>891</v>
      </c>
      <c r="DA1046" s="31">
        <v>55.75</v>
      </c>
      <c r="DB1046" s="31">
        <v>15.9</v>
      </c>
      <c r="DC1046" s="31" t="s">
        <v>895</v>
      </c>
      <c r="FA1046" s="5" t="s">
        <v>890</v>
      </c>
      <c r="FC1046" s="31">
        <v>50</v>
      </c>
    </row>
    <row r="1047" spans="1:159" s="31" customFormat="1" x14ac:dyDescent="0.25">
      <c r="A1047" s="31">
        <v>50</v>
      </c>
      <c r="B1047" s="31" t="s">
        <v>883</v>
      </c>
      <c r="C1047" s="31" t="s">
        <v>884</v>
      </c>
      <c r="D1047" s="31">
        <v>2000</v>
      </c>
      <c r="E1047" s="31">
        <v>1996</v>
      </c>
      <c r="F1047" s="31" t="s">
        <v>885</v>
      </c>
      <c r="H1047" s="31">
        <v>41.84</v>
      </c>
      <c r="I1047" s="31">
        <v>-85.68</v>
      </c>
      <c r="J1047" s="31">
        <v>244</v>
      </c>
      <c r="P1047" s="56" t="s">
        <v>180</v>
      </c>
      <c r="Q1047" s="56"/>
      <c r="R1047" s="56"/>
      <c r="S1047" s="56" t="s">
        <v>1665</v>
      </c>
      <c r="T1047" s="56" t="s">
        <v>1682</v>
      </c>
      <c r="X1047" s="31" t="s">
        <v>298</v>
      </c>
      <c r="AB1047" s="31" t="s">
        <v>1580</v>
      </c>
      <c r="AC1047" s="31" t="s">
        <v>166</v>
      </c>
      <c r="AD1047" s="153" t="str">
        <f t="shared" si="243"/>
        <v>Rye</v>
      </c>
      <c r="AE1047" s="31" t="s">
        <v>167</v>
      </c>
      <c r="AM1047" s="31" t="s">
        <v>888</v>
      </c>
      <c r="AN1047" s="31" t="s">
        <v>888</v>
      </c>
      <c r="AO1047" s="31" t="s">
        <v>230</v>
      </c>
      <c r="AP1047" s="31" t="s">
        <v>208</v>
      </c>
      <c r="AU1047" s="31">
        <v>1763</v>
      </c>
      <c r="AV1047" s="31">
        <f>AU1047/45.4</f>
        <v>38.832599118942731</v>
      </c>
      <c r="AX1047" s="5" t="s">
        <v>889</v>
      </c>
      <c r="BB1047" s="31">
        <v>6211</v>
      </c>
      <c r="BC1047" s="31">
        <v>5632</v>
      </c>
      <c r="BK1047" s="31">
        <v>4.6100000000000003</v>
      </c>
      <c r="BL1047" s="31">
        <v>3.06</v>
      </c>
      <c r="BM1047" s="31" t="s">
        <v>891</v>
      </c>
      <c r="FA1047" s="5" t="s">
        <v>890</v>
      </c>
      <c r="FC1047" s="31">
        <v>50</v>
      </c>
    </row>
    <row r="1048" spans="1:159" s="5" customFormat="1" x14ac:dyDescent="0.25">
      <c r="A1048" s="5">
        <v>50</v>
      </c>
      <c r="B1048" s="5" t="s">
        <v>883</v>
      </c>
      <c r="C1048" s="5" t="s">
        <v>884</v>
      </c>
      <c r="D1048" s="5">
        <v>2000</v>
      </c>
      <c r="E1048" s="5">
        <v>1997</v>
      </c>
      <c r="F1048" s="5" t="s">
        <v>885</v>
      </c>
      <c r="H1048" s="5">
        <v>41.84</v>
      </c>
      <c r="I1048" s="5">
        <v>-85.68</v>
      </c>
      <c r="J1048" s="5">
        <v>244</v>
      </c>
      <c r="P1048" s="62" t="s">
        <v>181</v>
      </c>
      <c r="Q1048" s="62"/>
      <c r="R1048" s="62"/>
      <c r="S1048" s="62" t="s">
        <v>1665</v>
      </c>
      <c r="T1048" s="62" t="s">
        <v>1682</v>
      </c>
      <c r="X1048" s="5" t="s">
        <v>298</v>
      </c>
      <c r="AB1048" s="5" t="s">
        <v>1580</v>
      </c>
      <c r="AC1048" s="5" t="s">
        <v>166</v>
      </c>
      <c r="AD1048" s="153" t="str">
        <f t="shared" si="243"/>
        <v>Rye</v>
      </c>
      <c r="AE1048" s="5" t="s">
        <v>167</v>
      </c>
      <c r="AM1048" s="5" t="s">
        <v>887</v>
      </c>
      <c r="AN1048" s="5" t="s">
        <v>887</v>
      </c>
      <c r="AO1048" s="5" t="s">
        <v>230</v>
      </c>
      <c r="AP1048" s="5" t="s">
        <v>208</v>
      </c>
      <c r="AU1048" s="5">
        <v>1173</v>
      </c>
      <c r="AV1048" s="5">
        <f>AU1048/40</f>
        <v>29.324999999999999</v>
      </c>
      <c r="AW1048" s="64"/>
      <c r="AX1048" s="5" t="s">
        <v>889</v>
      </c>
      <c r="BB1048" s="5">
        <v>2928</v>
      </c>
      <c r="BC1048" s="5">
        <v>3002</v>
      </c>
      <c r="BK1048" s="5">
        <v>2.93</v>
      </c>
      <c r="BL1048" s="5">
        <v>3.59</v>
      </c>
      <c r="BM1048" s="5" t="s">
        <v>891</v>
      </c>
      <c r="DA1048" s="5">
        <v>80.08</v>
      </c>
      <c r="DB1048" s="5">
        <v>25.81</v>
      </c>
      <c r="DC1048" s="5" t="s">
        <v>895</v>
      </c>
      <c r="DS1048" s="46"/>
      <c r="DU1048" s="46"/>
      <c r="FA1048" s="5" t="s">
        <v>890</v>
      </c>
      <c r="FC1048" s="5">
        <v>50</v>
      </c>
    </row>
    <row r="1049" spans="1:159" s="5" customFormat="1" x14ac:dyDescent="0.25">
      <c r="A1049" s="5">
        <v>50</v>
      </c>
      <c r="B1049" s="5" t="s">
        <v>883</v>
      </c>
      <c r="C1049" s="5" t="s">
        <v>884</v>
      </c>
      <c r="D1049" s="5">
        <v>2000</v>
      </c>
      <c r="E1049" s="5">
        <v>1997</v>
      </c>
      <c r="F1049" s="5" t="s">
        <v>885</v>
      </c>
      <c r="H1049" s="5">
        <v>41.84</v>
      </c>
      <c r="I1049" s="5">
        <v>-85.68</v>
      </c>
      <c r="J1049" s="5">
        <v>244</v>
      </c>
      <c r="P1049" s="62" t="s">
        <v>181</v>
      </c>
      <c r="Q1049" s="62"/>
      <c r="R1049" s="62"/>
      <c r="S1049" s="62" t="s">
        <v>1665</v>
      </c>
      <c r="T1049" s="62" t="s">
        <v>1682</v>
      </c>
      <c r="X1049" s="5" t="s">
        <v>298</v>
      </c>
      <c r="AB1049" s="5" t="s">
        <v>1580</v>
      </c>
      <c r="AC1049" s="5" t="s">
        <v>166</v>
      </c>
      <c r="AD1049" s="153" t="str">
        <f t="shared" si="243"/>
        <v>Rye</v>
      </c>
      <c r="AE1049" s="5" t="s">
        <v>167</v>
      </c>
      <c r="AM1049" s="5" t="s">
        <v>888</v>
      </c>
      <c r="AN1049" s="5" t="s">
        <v>888</v>
      </c>
      <c r="AO1049" s="5" t="s">
        <v>230</v>
      </c>
      <c r="AP1049" s="5" t="s">
        <v>208</v>
      </c>
      <c r="AU1049" s="5">
        <v>2010</v>
      </c>
      <c r="AV1049" s="5">
        <f>AU1049/56</f>
        <v>35.892857142857146</v>
      </c>
      <c r="AW1049" s="64"/>
      <c r="AX1049" s="5" t="s">
        <v>889</v>
      </c>
      <c r="BB1049" s="5">
        <v>3407</v>
      </c>
      <c r="BC1049" s="5">
        <v>3622</v>
      </c>
      <c r="BK1049" s="5">
        <v>3.27</v>
      </c>
      <c r="BL1049" s="5">
        <v>2.96</v>
      </c>
      <c r="BM1049" s="5" t="s">
        <v>891</v>
      </c>
      <c r="DS1049" s="46"/>
      <c r="DU1049" s="46"/>
      <c r="FA1049" s="5" t="s">
        <v>890</v>
      </c>
      <c r="FC1049" s="5">
        <v>50</v>
      </c>
    </row>
    <row r="1050" spans="1:159" s="5" customFormat="1" x14ac:dyDescent="0.25">
      <c r="A1050" s="5">
        <v>50</v>
      </c>
      <c r="B1050" s="5" t="s">
        <v>883</v>
      </c>
      <c r="C1050" s="5" t="s">
        <v>884</v>
      </c>
      <c r="D1050" s="5">
        <v>2000</v>
      </c>
      <c r="E1050" s="5">
        <v>1995</v>
      </c>
      <c r="F1050" s="5" t="s">
        <v>885</v>
      </c>
      <c r="H1050" s="5">
        <v>41.84</v>
      </c>
      <c r="I1050" s="5">
        <v>-85.68</v>
      </c>
      <c r="J1050" s="5">
        <v>244</v>
      </c>
      <c r="P1050" s="62" t="s">
        <v>179</v>
      </c>
      <c r="Q1050" s="62"/>
      <c r="R1050" s="62"/>
      <c r="S1050" s="62" t="s">
        <v>1670</v>
      </c>
      <c r="T1050" s="62" t="s">
        <v>1682</v>
      </c>
      <c r="X1050" s="5" t="s">
        <v>298</v>
      </c>
      <c r="AB1050" s="5" t="s">
        <v>1580</v>
      </c>
      <c r="AC1050" s="5" t="s">
        <v>166</v>
      </c>
      <c r="AD1050" s="153" t="str">
        <f t="shared" si="243"/>
        <v>Rye</v>
      </c>
      <c r="AE1050" s="5" t="s">
        <v>167</v>
      </c>
      <c r="AM1050" s="5" t="s">
        <v>887</v>
      </c>
      <c r="AN1050" s="5" t="s">
        <v>887</v>
      </c>
      <c r="AO1050" s="5" t="s">
        <v>230</v>
      </c>
      <c r="AP1050" s="5" t="s">
        <v>208</v>
      </c>
      <c r="AW1050" s="64"/>
      <c r="AX1050" s="5" t="s">
        <v>892</v>
      </c>
      <c r="BK1050" s="5">
        <v>4.5</v>
      </c>
      <c r="BL1050" s="5">
        <v>2.27</v>
      </c>
      <c r="BM1050" s="5" t="s">
        <v>891</v>
      </c>
      <c r="DS1050" s="46"/>
      <c r="DU1050" s="46"/>
      <c r="FA1050" s="5" t="s">
        <v>890</v>
      </c>
      <c r="FC1050" s="5">
        <v>50</v>
      </c>
    </row>
    <row r="1051" spans="1:159" s="5" customFormat="1" x14ac:dyDescent="0.25">
      <c r="A1051" s="5">
        <v>50</v>
      </c>
      <c r="B1051" s="5" t="s">
        <v>883</v>
      </c>
      <c r="C1051" s="5" t="s">
        <v>884</v>
      </c>
      <c r="D1051" s="5">
        <v>2000</v>
      </c>
      <c r="E1051" s="5">
        <v>1995</v>
      </c>
      <c r="F1051" s="5" t="s">
        <v>885</v>
      </c>
      <c r="H1051" s="5">
        <v>41.84</v>
      </c>
      <c r="I1051" s="5">
        <v>-85.68</v>
      </c>
      <c r="J1051" s="5">
        <v>244</v>
      </c>
      <c r="P1051" s="62" t="s">
        <v>179</v>
      </c>
      <c r="Q1051" s="62"/>
      <c r="R1051" s="62"/>
      <c r="S1051" s="62" t="s">
        <v>1670</v>
      </c>
      <c r="T1051" s="62" t="s">
        <v>1682</v>
      </c>
      <c r="X1051" s="5" t="s">
        <v>298</v>
      </c>
      <c r="AB1051" s="5" t="s">
        <v>1580</v>
      </c>
      <c r="AC1051" s="5" t="s">
        <v>166</v>
      </c>
      <c r="AD1051" s="153" t="str">
        <f t="shared" si="243"/>
        <v>Rye</v>
      </c>
      <c r="AE1051" s="5" t="s">
        <v>167</v>
      </c>
      <c r="AM1051" s="5" t="s">
        <v>888</v>
      </c>
      <c r="AN1051" s="5" t="s">
        <v>888</v>
      </c>
      <c r="AO1051" s="5" t="s">
        <v>230</v>
      </c>
      <c r="AP1051" s="5" t="s">
        <v>208</v>
      </c>
      <c r="AW1051" s="64"/>
      <c r="AX1051" s="5" t="s">
        <v>892</v>
      </c>
      <c r="BK1051" s="5">
        <v>8.07</v>
      </c>
      <c r="BL1051" s="5">
        <v>7</v>
      </c>
      <c r="BM1051" s="5" t="s">
        <v>891</v>
      </c>
      <c r="DS1051" s="46"/>
      <c r="DU1051" s="46"/>
      <c r="FA1051" s="5" t="s">
        <v>890</v>
      </c>
      <c r="FC1051" s="5">
        <v>50</v>
      </c>
    </row>
    <row r="1052" spans="1:159" s="31" customFormat="1" x14ac:dyDescent="0.25">
      <c r="A1052" s="31">
        <v>50</v>
      </c>
      <c r="B1052" s="31" t="s">
        <v>883</v>
      </c>
      <c r="C1052" s="31" t="s">
        <v>884</v>
      </c>
      <c r="D1052" s="31">
        <v>2000</v>
      </c>
      <c r="E1052" s="31">
        <v>1996</v>
      </c>
      <c r="F1052" s="31" t="s">
        <v>885</v>
      </c>
      <c r="H1052" s="31">
        <v>41.84</v>
      </c>
      <c r="I1052" s="31">
        <v>-85.68</v>
      </c>
      <c r="J1052" s="31">
        <v>244</v>
      </c>
      <c r="P1052" s="56" t="s">
        <v>180</v>
      </c>
      <c r="Q1052" s="56"/>
      <c r="R1052" s="56"/>
      <c r="S1052" s="56" t="s">
        <v>1670</v>
      </c>
      <c r="T1052" s="56" t="s">
        <v>1682</v>
      </c>
      <c r="X1052" s="31" t="s">
        <v>298</v>
      </c>
      <c r="AB1052" s="31" t="s">
        <v>1580</v>
      </c>
      <c r="AC1052" s="31" t="s">
        <v>166</v>
      </c>
      <c r="AD1052" s="153" t="str">
        <f t="shared" si="243"/>
        <v>Rye</v>
      </c>
      <c r="AE1052" s="31" t="s">
        <v>167</v>
      </c>
      <c r="AM1052" s="31" t="s">
        <v>887</v>
      </c>
      <c r="AN1052" s="31" t="s">
        <v>887</v>
      </c>
      <c r="AO1052" s="31" t="s">
        <v>230</v>
      </c>
      <c r="AP1052" s="31" t="s">
        <v>208</v>
      </c>
      <c r="AU1052" s="31">
        <v>754</v>
      </c>
      <c r="AV1052" s="31">
        <f>AU1052/20</f>
        <v>37.700000000000003</v>
      </c>
      <c r="AX1052" s="31" t="s">
        <v>892</v>
      </c>
      <c r="BK1052" s="31">
        <v>1.27</v>
      </c>
      <c r="BL1052" s="31">
        <v>2.19</v>
      </c>
      <c r="BM1052" s="31" t="s">
        <v>891</v>
      </c>
      <c r="FA1052" s="5" t="s">
        <v>890</v>
      </c>
      <c r="FC1052" s="31">
        <v>50</v>
      </c>
    </row>
    <row r="1053" spans="1:159" s="31" customFormat="1" x14ac:dyDescent="0.25">
      <c r="A1053" s="31">
        <v>50</v>
      </c>
      <c r="B1053" s="31" t="s">
        <v>883</v>
      </c>
      <c r="C1053" s="31" t="s">
        <v>884</v>
      </c>
      <c r="D1053" s="31">
        <v>2000</v>
      </c>
      <c r="E1053" s="31">
        <v>1996</v>
      </c>
      <c r="F1053" s="31" t="s">
        <v>885</v>
      </c>
      <c r="H1053" s="31">
        <v>41.84</v>
      </c>
      <c r="I1053" s="31">
        <v>-85.68</v>
      </c>
      <c r="J1053" s="31">
        <v>244</v>
      </c>
      <c r="P1053" s="56" t="s">
        <v>180</v>
      </c>
      <c r="Q1053" s="56"/>
      <c r="R1053" s="56"/>
      <c r="S1053" s="56" t="s">
        <v>1670</v>
      </c>
      <c r="T1053" s="56" t="s">
        <v>1682</v>
      </c>
      <c r="X1053" s="31" t="s">
        <v>298</v>
      </c>
      <c r="AB1053" s="31" t="s">
        <v>1580</v>
      </c>
      <c r="AC1053" s="31" t="s">
        <v>166</v>
      </c>
      <c r="AD1053" s="153" t="str">
        <f t="shared" si="243"/>
        <v>Rye</v>
      </c>
      <c r="AE1053" s="31" t="s">
        <v>167</v>
      </c>
      <c r="AM1053" s="31" t="s">
        <v>888</v>
      </c>
      <c r="AN1053" s="31" t="s">
        <v>888</v>
      </c>
      <c r="AO1053" s="31" t="s">
        <v>230</v>
      </c>
      <c r="AP1053" s="31" t="s">
        <v>208</v>
      </c>
      <c r="AU1053" s="31">
        <v>1763</v>
      </c>
      <c r="AV1053" s="31">
        <f>AU1053/45.4</f>
        <v>38.832599118942731</v>
      </c>
      <c r="AX1053" s="31" t="s">
        <v>892</v>
      </c>
      <c r="BK1053" s="31">
        <v>2.0299999999999998</v>
      </c>
      <c r="BL1053" s="31">
        <v>1.62</v>
      </c>
      <c r="BM1053" s="31" t="s">
        <v>891</v>
      </c>
      <c r="FA1053" s="5" t="s">
        <v>890</v>
      </c>
      <c r="FC1053" s="31">
        <v>50</v>
      </c>
    </row>
    <row r="1054" spans="1:159" s="5" customFormat="1" x14ac:dyDescent="0.25">
      <c r="A1054" s="5">
        <v>50</v>
      </c>
      <c r="B1054" s="5" t="s">
        <v>883</v>
      </c>
      <c r="C1054" s="5" t="s">
        <v>884</v>
      </c>
      <c r="D1054" s="5">
        <v>2000</v>
      </c>
      <c r="E1054" s="5">
        <v>1997</v>
      </c>
      <c r="F1054" s="5" t="s">
        <v>885</v>
      </c>
      <c r="H1054" s="5">
        <v>41.84</v>
      </c>
      <c r="I1054" s="5">
        <v>-85.68</v>
      </c>
      <c r="J1054" s="5">
        <v>244</v>
      </c>
      <c r="P1054" s="62" t="s">
        <v>181</v>
      </c>
      <c r="Q1054" s="62"/>
      <c r="R1054" s="62"/>
      <c r="S1054" s="62" t="s">
        <v>1670</v>
      </c>
      <c r="T1054" s="62" t="s">
        <v>1682</v>
      </c>
      <c r="X1054" s="5" t="s">
        <v>298</v>
      </c>
      <c r="AB1054" s="5" t="s">
        <v>1580</v>
      </c>
      <c r="AC1054" s="5" t="s">
        <v>166</v>
      </c>
      <c r="AD1054" s="153" t="str">
        <f t="shared" si="243"/>
        <v>Rye</v>
      </c>
      <c r="AE1054" s="5" t="s">
        <v>167</v>
      </c>
      <c r="AM1054" s="5" t="s">
        <v>887</v>
      </c>
      <c r="AN1054" s="5" t="s">
        <v>887</v>
      </c>
      <c r="AO1054" s="5" t="s">
        <v>230</v>
      </c>
      <c r="AP1054" s="5" t="s">
        <v>208</v>
      </c>
      <c r="AU1054" s="5">
        <v>1173</v>
      </c>
      <c r="AV1054" s="5">
        <f>AU1054/40</f>
        <v>29.324999999999999</v>
      </c>
      <c r="AW1054" s="64"/>
      <c r="AX1054" s="5" t="s">
        <v>892</v>
      </c>
      <c r="BK1054" s="5">
        <v>2.06</v>
      </c>
      <c r="BL1054" s="5">
        <v>2.31</v>
      </c>
      <c r="BM1054" s="5" t="s">
        <v>891</v>
      </c>
      <c r="DS1054" s="46"/>
      <c r="DU1054" s="46"/>
      <c r="FA1054" s="5" t="s">
        <v>890</v>
      </c>
      <c r="FC1054" s="5">
        <v>50</v>
      </c>
    </row>
    <row r="1055" spans="1:159" s="5" customFormat="1" x14ac:dyDescent="0.25">
      <c r="A1055" s="5">
        <v>50</v>
      </c>
      <c r="B1055" s="5" t="s">
        <v>883</v>
      </c>
      <c r="C1055" s="5" t="s">
        <v>884</v>
      </c>
      <c r="D1055" s="5">
        <v>2000</v>
      </c>
      <c r="E1055" s="5">
        <v>1997</v>
      </c>
      <c r="F1055" s="5" t="s">
        <v>885</v>
      </c>
      <c r="H1055" s="5">
        <v>41.84</v>
      </c>
      <c r="I1055" s="5">
        <v>-85.68</v>
      </c>
      <c r="J1055" s="5">
        <v>244</v>
      </c>
      <c r="P1055" s="62" t="s">
        <v>181</v>
      </c>
      <c r="Q1055" s="62"/>
      <c r="R1055" s="62"/>
      <c r="S1055" s="62" t="s">
        <v>1670</v>
      </c>
      <c r="T1055" s="62" t="s">
        <v>1682</v>
      </c>
      <c r="X1055" s="5" t="s">
        <v>298</v>
      </c>
      <c r="AB1055" s="5" t="s">
        <v>1580</v>
      </c>
      <c r="AC1055" s="5" t="s">
        <v>166</v>
      </c>
      <c r="AD1055" s="153" t="str">
        <f t="shared" si="243"/>
        <v>Rye</v>
      </c>
      <c r="AE1055" s="5" t="s">
        <v>167</v>
      </c>
      <c r="AM1055" s="5" t="s">
        <v>888</v>
      </c>
      <c r="AN1055" s="5" t="s">
        <v>888</v>
      </c>
      <c r="AO1055" s="5" t="s">
        <v>230</v>
      </c>
      <c r="AP1055" s="5" t="s">
        <v>208</v>
      </c>
      <c r="AU1055" s="5">
        <v>2010</v>
      </c>
      <c r="AV1055" s="5">
        <f>AU1055/56</f>
        <v>35.892857142857146</v>
      </c>
      <c r="AW1055" s="64"/>
      <c r="AX1055" s="5" t="s">
        <v>892</v>
      </c>
      <c r="BK1055" s="5">
        <v>2.3199999999999998</v>
      </c>
      <c r="BL1055" s="5">
        <v>2.82</v>
      </c>
      <c r="BM1055" s="5" t="s">
        <v>891</v>
      </c>
      <c r="DS1055" s="46"/>
      <c r="DU1055" s="46"/>
      <c r="FA1055" s="5" t="s">
        <v>890</v>
      </c>
      <c r="FC1055" s="5">
        <v>50</v>
      </c>
    </row>
    <row r="1056" spans="1:159" s="5" customFormat="1" x14ac:dyDescent="0.25">
      <c r="A1056" s="5">
        <v>50</v>
      </c>
      <c r="B1056" s="5" t="s">
        <v>883</v>
      </c>
      <c r="C1056" s="5" t="s">
        <v>884</v>
      </c>
      <c r="D1056" s="5">
        <v>2000</v>
      </c>
      <c r="E1056" s="5">
        <v>1995</v>
      </c>
      <c r="F1056" s="5" t="s">
        <v>885</v>
      </c>
      <c r="H1056" s="5">
        <v>41.84</v>
      </c>
      <c r="I1056" s="5">
        <v>-85.68</v>
      </c>
      <c r="J1056" s="5">
        <v>244</v>
      </c>
      <c r="P1056" s="62" t="s">
        <v>179</v>
      </c>
      <c r="Q1056" s="62"/>
      <c r="R1056" s="62"/>
      <c r="S1056" s="62" t="s">
        <v>1671</v>
      </c>
      <c r="T1056" s="62" t="s">
        <v>1682</v>
      </c>
      <c r="X1056" s="5" t="s">
        <v>298</v>
      </c>
      <c r="AB1056" s="5" t="s">
        <v>1580</v>
      </c>
      <c r="AC1056" s="5" t="s">
        <v>166</v>
      </c>
      <c r="AD1056" s="153" t="str">
        <f t="shared" si="243"/>
        <v>Rye</v>
      </c>
      <c r="AE1056" s="5" t="s">
        <v>167</v>
      </c>
      <c r="AM1056" s="5" t="s">
        <v>887</v>
      </c>
      <c r="AN1056" s="5" t="s">
        <v>887</v>
      </c>
      <c r="AO1056" s="5" t="s">
        <v>230</v>
      </c>
      <c r="AP1056" s="5" t="s">
        <v>208</v>
      </c>
      <c r="AW1056" s="64"/>
      <c r="AX1056" s="5" t="s">
        <v>893</v>
      </c>
      <c r="BK1056" s="5">
        <v>4.45</v>
      </c>
      <c r="BL1056" s="5">
        <v>2.08</v>
      </c>
      <c r="BM1056" s="5" t="s">
        <v>891</v>
      </c>
      <c r="DS1056" s="46"/>
      <c r="DU1056" s="46"/>
      <c r="FA1056" s="5" t="s">
        <v>890</v>
      </c>
      <c r="FC1056" s="5">
        <v>50</v>
      </c>
    </row>
    <row r="1057" spans="1:159" s="5" customFormat="1" x14ac:dyDescent="0.25">
      <c r="A1057" s="5">
        <v>50</v>
      </c>
      <c r="B1057" s="5" t="s">
        <v>883</v>
      </c>
      <c r="C1057" s="5" t="s">
        <v>884</v>
      </c>
      <c r="D1057" s="5">
        <v>2000</v>
      </c>
      <c r="E1057" s="5">
        <v>1995</v>
      </c>
      <c r="F1057" s="5" t="s">
        <v>885</v>
      </c>
      <c r="H1057" s="5">
        <v>41.84</v>
      </c>
      <c r="I1057" s="5">
        <v>-85.68</v>
      </c>
      <c r="J1057" s="5">
        <v>244</v>
      </c>
      <c r="P1057" s="62" t="s">
        <v>179</v>
      </c>
      <c r="Q1057" s="62"/>
      <c r="R1057" s="62"/>
      <c r="S1057" s="62" t="s">
        <v>1671</v>
      </c>
      <c r="T1057" s="62" t="s">
        <v>1682</v>
      </c>
      <c r="X1057" s="5" t="s">
        <v>298</v>
      </c>
      <c r="AB1057" s="5" t="s">
        <v>1580</v>
      </c>
      <c r="AC1057" s="5" t="s">
        <v>166</v>
      </c>
      <c r="AD1057" s="153" t="str">
        <f t="shared" si="243"/>
        <v>Rye</v>
      </c>
      <c r="AE1057" s="5" t="s">
        <v>167</v>
      </c>
      <c r="AM1057" s="5" t="s">
        <v>888</v>
      </c>
      <c r="AN1057" s="5" t="s">
        <v>888</v>
      </c>
      <c r="AO1057" s="5" t="s">
        <v>230</v>
      </c>
      <c r="AP1057" s="5" t="s">
        <v>208</v>
      </c>
      <c r="AW1057" s="64"/>
      <c r="AX1057" s="5" t="s">
        <v>893</v>
      </c>
      <c r="BK1057" s="5">
        <v>19.559999999999999</v>
      </c>
      <c r="BL1057" s="5">
        <v>13.24</v>
      </c>
      <c r="BM1057" s="5" t="s">
        <v>891</v>
      </c>
      <c r="DS1057" s="46"/>
      <c r="DU1057" s="46"/>
      <c r="FA1057" s="5" t="s">
        <v>890</v>
      </c>
      <c r="FC1057" s="5">
        <v>50</v>
      </c>
    </row>
    <row r="1058" spans="1:159" s="31" customFormat="1" x14ac:dyDescent="0.25">
      <c r="A1058" s="31">
        <v>50</v>
      </c>
      <c r="B1058" s="31" t="s">
        <v>883</v>
      </c>
      <c r="C1058" s="31" t="s">
        <v>884</v>
      </c>
      <c r="D1058" s="31">
        <v>2000</v>
      </c>
      <c r="E1058" s="31">
        <v>1996</v>
      </c>
      <c r="F1058" s="31" t="s">
        <v>885</v>
      </c>
      <c r="H1058" s="31">
        <v>41.84</v>
      </c>
      <c r="I1058" s="31">
        <v>-85.68</v>
      </c>
      <c r="J1058" s="31">
        <v>244</v>
      </c>
      <c r="P1058" s="56" t="s">
        <v>180</v>
      </c>
      <c r="Q1058" s="56"/>
      <c r="R1058" s="56"/>
      <c r="S1058" s="56" t="s">
        <v>1671</v>
      </c>
      <c r="T1058" s="56" t="s">
        <v>1682</v>
      </c>
      <c r="X1058" s="31" t="s">
        <v>298</v>
      </c>
      <c r="AB1058" s="31" t="s">
        <v>1580</v>
      </c>
      <c r="AC1058" s="31" t="s">
        <v>166</v>
      </c>
      <c r="AD1058" s="153" t="str">
        <f t="shared" si="243"/>
        <v>Rye</v>
      </c>
      <c r="AE1058" s="31" t="s">
        <v>167</v>
      </c>
      <c r="AM1058" s="31" t="s">
        <v>887</v>
      </c>
      <c r="AN1058" s="31" t="s">
        <v>887</v>
      </c>
      <c r="AO1058" s="31" t="s">
        <v>230</v>
      </c>
      <c r="AP1058" s="31" t="s">
        <v>208</v>
      </c>
      <c r="AU1058" s="31">
        <v>754</v>
      </c>
      <c r="AV1058" s="31">
        <f>AU1058/20</f>
        <v>37.700000000000003</v>
      </c>
      <c r="AX1058" s="31" t="s">
        <v>893</v>
      </c>
      <c r="BK1058" s="31">
        <v>1.44</v>
      </c>
      <c r="BL1058" s="31">
        <v>1.3</v>
      </c>
      <c r="BM1058" s="31" t="s">
        <v>891</v>
      </c>
      <c r="FA1058" s="5" t="s">
        <v>890</v>
      </c>
      <c r="FC1058" s="31">
        <v>50</v>
      </c>
    </row>
    <row r="1059" spans="1:159" s="31" customFormat="1" x14ac:dyDescent="0.25">
      <c r="A1059" s="31">
        <v>50</v>
      </c>
      <c r="B1059" s="31" t="s">
        <v>883</v>
      </c>
      <c r="C1059" s="31" t="s">
        <v>884</v>
      </c>
      <c r="D1059" s="31">
        <v>2000</v>
      </c>
      <c r="E1059" s="31">
        <v>1996</v>
      </c>
      <c r="F1059" s="31" t="s">
        <v>885</v>
      </c>
      <c r="H1059" s="31">
        <v>41.84</v>
      </c>
      <c r="I1059" s="31">
        <v>-85.68</v>
      </c>
      <c r="J1059" s="31">
        <v>244</v>
      </c>
      <c r="P1059" s="56" t="s">
        <v>180</v>
      </c>
      <c r="Q1059" s="56"/>
      <c r="R1059" s="56"/>
      <c r="S1059" s="56" t="s">
        <v>1671</v>
      </c>
      <c r="T1059" s="56" t="s">
        <v>1682</v>
      </c>
      <c r="X1059" s="31" t="s">
        <v>298</v>
      </c>
      <c r="AB1059" s="31" t="s">
        <v>1580</v>
      </c>
      <c r="AC1059" s="31" t="s">
        <v>166</v>
      </c>
      <c r="AD1059" s="153" t="str">
        <f t="shared" si="243"/>
        <v>Rye</v>
      </c>
      <c r="AE1059" s="31" t="s">
        <v>167</v>
      </c>
      <c r="AM1059" s="31" t="s">
        <v>888</v>
      </c>
      <c r="AN1059" s="31" t="s">
        <v>888</v>
      </c>
      <c r="AO1059" s="31" t="s">
        <v>230</v>
      </c>
      <c r="AP1059" s="31" t="s">
        <v>208</v>
      </c>
      <c r="AU1059" s="31">
        <v>1763</v>
      </c>
      <c r="AV1059" s="31">
        <f>AU1059/45.4</f>
        <v>38.832599118942731</v>
      </c>
      <c r="AX1059" s="31" t="s">
        <v>893</v>
      </c>
      <c r="BK1059" s="31">
        <v>1.36</v>
      </c>
      <c r="BL1059" s="31">
        <v>1.1200000000000001</v>
      </c>
      <c r="BM1059" s="31" t="s">
        <v>891</v>
      </c>
      <c r="FA1059" s="5" t="s">
        <v>890</v>
      </c>
      <c r="FC1059" s="31">
        <v>50</v>
      </c>
    </row>
    <row r="1060" spans="1:159" s="5" customFormat="1" x14ac:dyDescent="0.25">
      <c r="A1060" s="5">
        <v>50</v>
      </c>
      <c r="B1060" s="5" t="s">
        <v>883</v>
      </c>
      <c r="C1060" s="5" t="s">
        <v>884</v>
      </c>
      <c r="D1060" s="5">
        <v>2000</v>
      </c>
      <c r="E1060" s="5">
        <v>1997</v>
      </c>
      <c r="F1060" s="5" t="s">
        <v>885</v>
      </c>
      <c r="H1060" s="5">
        <v>41.84</v>
      </c>
      <c r="I1060" s="5">
        <v>-85.68</v>
      </c>
      <c r="J1060" s="5">
        <v>244</v>
      </c>
      <c r="P1060" s="62" t="s">
        <v>181</v>
      </c>
      <c r="Q1060" s="62"/>
      <c r="R1060" s="62"/>
      <c r="S1060" s="62" t="s">
        <v>1671</v>
      </c>
      <c r="T1060" s="62" t="s">
        <v>1682</v>
      </c>
      <c r="X1060" s="5" t="s">
        <v>298</v>
      </c>
      <c r="AB1060" s="5" t="s">
        <v>1580</v>
      </c>
      <c r="AC1060" s="5" t="s">
        <v>166</v>
      </c>
      <c r="AD1060" s="153" t="str">
        <f t="shared" si="243"/>
        <v>Rye</v>
      </c>
      <c r="AE1060" s="5" t="s">
        <v>167</v>
      </c>
      <c r="AM1060" s="5" t="s">
        <v>887</v>
      </c>
      <c r="AN1060" s="5" t="s">
        <v>887</v>
      </c>
      <c r="AO1060" s="5" t="s">
        <v>230</v>
      </c>
      <c r="AP1060" s="5" t="s">
        <v>208</v>
      </c>
      <c r="AU1060" s="5">
        <v>1173</v>
      </c>
      <c r="AV1060" s="5">
        <f>AU1060/40</f>
        <v>29.324999999999999</v>
      </c>
      <c r="AW1060" s="64"/>
      <c r="AX1060" s="5" t="s">
        <v>893</v>
      </c>
      <c r="BK1060" s="5">
        <v>1.81</v>
      </c>
      <c r="BL1060" s="5">
        <v>1.58</v>
      </c>
      <c r="BM1060" s="5" t="s">
        <v>891</v>
      </c>
      <c r="DS1060" s="46"/>
      <c r="DU1060" s="46"/>
      <c r="FA1060" s="5" t="s">
        <v>890</v>
      </c>
      <c r="FC1060" s="5">
        <v>50</v>
      </c>
    </row>
    <row r="1061" spans="1:159" s="5" customFormat="1" x14ac:dyDescent="0.25">
      <c r="A1061" s="5">
        <v>50</v>
      </c>
      <c r="B1061" s="5" t="s">
        <v>883</v>
      </c>
      <c r="C1061" s="5" t="s">
        <v>884</v>
      </c>
      <c r="D1061" s="5">
        <v>2000</v>
      </c>
      <c r="E1061" s="5">
        <v>1997</v>
      </c>
      <c r="F1061" s="5" t="s">
        <v>885</v>
      </c>
      <c r="H1061" s="5">
        <v>41.84</v>
      </c>
      <c r="I1061" s="5">
        <v>-85.68</v>
      </c>
      <c r="J1061" s="5">
        <v>244</v>
      </c>
      <c r="P1061" s="62" t="s">
        <v>181</v>
      </c>
      <c r="Q1061" s="62"/>
      <c r="R1061" s="62"/>
      <c r="S1061" s="62" t="s">
        <v>1671</v>
      </c>
      <c r="T1061" s="62" t="s">
        <v>1682</v>
      </c>
      <c r="X1061" s="5" t="s">
        <v>298</v>
      </c>
      <c r="AB1061" s="5" t="s">
        <v>1580</v>
      </c>
      <c r="AC1061" s="5" t="s">
        <v>166</v>
      </c>
      <c r="AD1061" s="153" t="str">
        <f t="shared" si="243"/>
        <v>Rye</v>
      </c>
      <c r="AE1061" s="5" t="s">
        <v>167</v>
      </c>
      <c r="AM1061" s="5" t="s">
        <v>888</v>
      </c>
      <c r="AN1061" s="5" t="s">
        <v>888</v>
      </c>
      <c r="AO1061" s="5" t="s">
        <v>230</v>
      </c>
      <c r="AP1061" s="5" t="s">
        <v>208</v>
      </c>
      <c r="AU1061" s="5">
        <v>2010</v>
      </c>
      <c r="AV1061" s="5">
        <f>AU1061/56</f>
        <v>35.892857142857146</v>
      </c>
      <c r="AW1061" s="64"/>
      <c r="AX1061" s="5" t="s">
        <v>893</v>
      </c>
      <c r="BK1061" s="5">
        <v>2.23</v>
      </c>
      <c r="BL1061" s="5">
        <v>1.91</v>
      </c>
      <c r="BM1061" s="5" t="s">
        <v>891</v>
      </c>
      <c r="DS1061" s="46"/>
      <c r="DU1061" s="46"/>
      <c r="FA1061" s="5" t="s">
        <v>890</v>
      </c>
      <c r="FC1061" s="5">
        <v>50</v>
      </c>
    </row>
    <row r="1062" spans="1:159" s="5" customFormat="1" x14ac:dyDescent="0.25">
      <c r="A1062" s="5">
        <v>50</v>
      </c>
      <c r="B1062" s="5" t="s">
        <v>883</v>
      </c>
      <c r="C1062" s="5" t="s">
        <v>884</v>
      </c>
      <c r="D1062" s="5">
        <v>2000</v>
      </c>
      <c r="E1062" s="5">
        <v>1995</v>
      </c>
      <c r="F1062" s="5" t="s">
        <v>885</v>
      </c>
      <c r="H1062" s="5">
        <v>41.84</v>
      </c>
      <c r="I1062" s="5">
        <v>-85.68</v>
      </c>
      <c r="J1062" s="5">
        <v>244</v>
      </c>
      <c r="P1062" s="62" t="s">
        <v>179</v>
      </c>
      <c r="Q1062" s="62"/>
      <c r="R1062" s="62"/>
      <c r="S1062" s="62" t="s">
        <v>1672</v>
      </c>
      <c r="T1062" s="62" t="s">
        <v>1682</v>
      </c>
      <c r="X1062" s="5" t="s">
        <v>298</v>
      </c>
      <c r="AB1062" s="5" t="s">
        <v>1580</v>
      </c>
      <c r="AC1062" s="5" t="s">
        <v>166</v>
      </c>
      <c r="AD1062" s="153" t="str">
        <f t="shared" si="243"/>
        <v>Rye</v>
      </c>
      <c r="AE1062" s="5" t="s">
        <v>167</v>
      </c>
      <c r="AM1062" s="5" t="s">
        <v>887</v>
      </c>
      <c r="AN1062" s="5" t="s">
        <v>887</v>
      </c>
      <c r="AO1062" s="5" t="s">
        <v>230</v>
      </c>
      <c r="AP1062" s="5" t="s">
        <v>208</v>
      </c>
      <c r="AW1062" s="64"/>
      <c r="AX1062" s="5" t="s">
        <v>894</v>
      </c>
      <c r="BK1062" s="5">
        <v>5.38</v>
      </c>
      <c r="BL1062" s="5">
        <v>1.92</v>
      </c>
      <c r="BM1062" s="5" t="s">
        <v>891</v>
      </c>
      <c r="DS1062" s="46"/>
      <c r="DU1062" s="46"/>
      <c r="FA1062" s="5" t="s">
        <v>890</v>
      </c>
      <c r="FC1062" s="5">
        <v>50</v>
      </c>
    </row>
    <row r="1063" spans="1:159" s="5" customFormat="1" x14ac:dyDescent="0.25">
      <c r="A1063" s="5">
        <v>50</v>
      </c>
      <c r="B1063" s="5" t="s">
        <v>883</v>
      </c>
      <c r="C1063" s="5" t="s">
        <v>884</v>
      </c>
      <c r="D1063" s="5">
        <v>2000</v>
      </c>
      <c r="E1063" s="5">
        <v>1995</v>
      </c>
      <c r="F1063" s="5" t="s">
        <v>885</v>
      </c>
      <c r="H1063" s="5">
        <v>41.84</v>
      </c>
      <c r="I1063" s="5">
        <v>-85.68</v>
      </c>
      <c r="J1063" s="5">
        <v>244</v>
      </c>
      <c r="P1063" s="62" t="s">
        <v>179</v>
      </c>
      <c r="Q1063" s="62"/>
      <c r="R1063" s="62"/>
      <c r="S1063" s="62" t="s">
        <v>1672</v>
      </c>
      <c r="T1063" s="62" t="s">
        <v>1682</v>
      </c>
      <c r="X1063" s="5" t="s">
        <v>298</v>
      </c>
      <c r="AB1063" s="5" t="s">
        <v>1580</v>
      </c>
      <c r="AC1063" s="5" t="s">
        <v>166</v>
      </c>
      <c r="AD1063" s="153" t="str">
        <f t="shared" si="243"/>
        <v>Rye</v>
      </c>
      <c r="AE1063" s="5" t="s">
        <v>167</v>
      </c>
      <c r="AM1063" s="5" t="s">
        <v>888</v>
      </c>
      <c r="AN1063" s="5" t="s">
        <v>888</v>
      </c>
      <c r="AO1063" s="5" t="s">
        <v>230</v>
      </c>
      <c r="AP1063" s="5" t="s">
        <v>208</v>
      </c>
      <c r="AW1063" s="64"/>
      <c r="AX1063" s="5" t="s">
        <v>894</v>
      </c>
      <c r="BK1063" s="5">
        <v>17.93</v>
      </c>
      <c r="BL1063" s="5">
        <v>8.61</v>
      </c>
      <c r="BM1063" s="5" t="s">
        <v>891</v>
      </c>
      <c r="DS1063" s="46"/>
      <c r="DU1063" s="46"/>
      <c r="FA1063" s="5" t="s">
        <v>890</v>
      </c>
      <c r="FC1063" s="5">
        <v>50</v>
      </c>
    </row>
    <row r="1064" spans="1:159" s="31" customFormat="1" x14ac:dyDescent="0.25">
      <c r="A1064" s="31">
        <v>50</v>
      </c>
      <c r="B1064" s="31" t="s">
        <v>883</v>
      </c>
      <c r="C1064" s="31" t="s">
        <v>884</v>
      </c>
      <c r="D1064" s="31">
        <v>2000</v>
      </c>
      <c r="E1064" s="31">
        <v>1996</v>
      </c>
      <c r="F1064" s="31" t="s">
        <v>885</v>
      </c>
      <c r="H1064" s="31">
        <v>41.84</v>
      </c>
      <c r="I1064" s="31">
        <v>-85.68</v>
      </c>
      <c r="J1064" s="31">
        <v>244</v>
      </c>
      <c r="P1064" s="56" t="s">
        <v>180</v>
      </c>
      <c r="Q1064" s="56"/>
      <c r="R1064" s="56"/>
      <c r="S1064" s="56" t="s">
        <v>1672</v>
      </c>
      <c r="T1064" s="56" t="s">
        <v>1682</v>
      </c>
      <c r="X1064" s="31" t="s">
        <v>298</v>
      </c>
      <c r="AB1064" s="31" t="s">
        <v>1580</v>
      </c>
      <c r="AC1064" s="31" t="s">
        <v>166</v>
      </c>
      <c r="AD1064" s="153" t="str">
        <f t="shared" si="243"/>
        <v>Rye</v>
      </c>
      <c r="AE1064" s="31" t="s">
        <v>167</v>
      </c>
      <c r="AM1064" s="31" t="s">
        <v>887</v>
      </c>
      <c r="AN1064" s="31" t="s">
        <v>887</v>
      </c>
      <c r="AO1064" s="31" t="s">
        <v>230</v>
      </c>
      <c r="AP1064" s="31" t="s">
        <v>208</v>
      </c>
      <c r="AU1064" s="31">
        <v>754</v>
      </c>
      <c r="AV1064" s="31">
        <f>AU1064/20</f>
        <v>37.700000000000003</v>
      </c>
      <c r="AX1064" s="31" t="s">
        <v>894</v>
      </c>
      <c r="BK1064" s="31">
        <v>1.5</v>
      </c>
      <c r="BL1064" s="31">
        <v>1.29</v>
      </c>
      <c r="BM1064" s="31" t="s">
        <v>891</v>
      </c>
      <c r="FA1064" s="5" t="s">
        <v>890</v>
      </c>
      <c r="FC1064" s="31">
        <v>50</v>
      </c>
    </row>
    <row r="1065" spans="1:159" s="31" customFormat="1" x14ac:dyDescent="0.25">
      <c r="A1065" s="31">
        <v>50</v>
      </c>
      <c r="B1065" s="31" t="s">
        <v>883</v>
      </c>
      <c r="C1065" s="31" t="s">
        <v>884</v>
      </c>
      <c r="D1065" s="31">
        <v>2000</v>
      </c>
      <c r="E1065" s="31">
        <v>1996</v>
      </c>
      <c r="F1065" s="31" t="s">
        <v>885</v>
      </c>
      <c r="H1065" s="31">
        <v>41.84</v>
      </c>
      <c r="I1065" s="31">
        <v>-85.68</v>
      </c>
      <c r="J1065" s="31">
        <v>244</v>
      </c>
      <c r="P1065" s="56" t="s">
        <v>180</v>
      </c>
      <c r="Q1065" s="56"/>
      <c r="R1065" s="56"/>
      <c r="S1065" s="56" t="s">
        <v>1672</v>
      </c>
      <c r="T1065" s="56" t="s">
        <v>1682</v>
      </c>
      <c r="X1065" s="31" t="s">
        <v>298</v>
      </c>
      <c r="AB1065" s="31" t="s">
        <v>1580</v>
      </c>
      <c r="AC1065" s="31" t="s">
        <v>166</v>
      </c>
      <c r="AD1065" s="153" t="str">
        <f t="shared" si="243"/>
        <v>Rye</v>
      </c>
      <c r="AE1065" s="31" t="s">
        <v>167</v>
      </c>
      <c r="AM1065" s="31" t="s">
        <v>888</v>
      </c>
      <c r="AN1065" s="31" t="s">
        <v>888</v>
      </c>
      <c r="AO1065" s="31" t="s">
        <v>230</v>
      </c>
      <c r="AP1065" s="31" t="s">
        <v>208</v>
      </c>
      <c r="AU1065" s="31">
        <v>1763</v>
      </c>
      <c r="AV1065" s="31">
        <f>AU1065/45.4</f>
        <v>38.832599118942731</v>
      </c>
      <c r="AX1065" s="31" t="s">
        <v>894</v>
      </c>
      <c r="BK1065" s="31">
        <v>1.21</v>
      </c>
      <c r="BL1065" s="31">
        <v>1.1299999999999999</v>
      </c>
      <c r="BM1065" s="31" t="s">
        <v>891</v>
      </c>
      <c r="FA1065" s="5" t="s">
        <v>890</v>
      </c>
      <c r="FC1065" s="31">
        <v>50</v>
      </c>
    </row>
    <row r="1066" spans="1:159" s="5" customFormat="1" x14ac:dyDescent="0.25">
      <c r="A1066" s="5">
        <v>50</v>
      </c>
      <c r="B1066" s="5" t="s">
        <v>883</v>
      </c>
      <c r="C1066" s="5" t="s">
        <v>884</v>
      </c>
      <c r="D1066" s="5">
        <v>2000</v>
      </c>
      <c r="E1066" s="5">
        <v>1997</v>
      </c>
      <c r="F1066" s="5" t="s">
        <v>885</v>
      </c>
      <c r="H1066" s="5">
        <v>41.84</v>
      </c>
      <c r="I1066" s="5">
        <v>-85.68</v>
      </c>
      <c r="J1066" s="5">
        <v>244</v>
      </c>
      <c r="P1066" s="62" t="s">
        <v>181</v>
      </c>
      <c r="Q1066" s="62"/>
      <c r="R1066" s="62"/>
      <c r="S1066" s="62" t="s">
        <v>1672</v>
      </c>
      <c r="T1066" s="62" t="s">
        <v>1682</v>
      </c>
      <c r="X1066" s="5" t="s">
        <v>298</v>
      </c>
      <c r="AB1066" s="5" t="s">
        <v>1580</v>
      </c>
      <c r="AC1066" s="5" t="s">
        <v>166</v>
      </c>
      <c r="AD1066" s="153" t="str">
        <f t="shared" si="243"/>
        <v>Rye</v>
      </c>
      <c r="AE1066" s="5" t="s">
        <v>167</v>
      </c>
      <c r="AM1066" s="5" t="s">
        <v>887</v>
      </c>
      <c r="AN1066" s="5" t="s">
        <v>887</v>
      </c>
      <c r="AO1066" s="5" t="s">
        <v>230</v>
      </c>
      <c r="AP1066" s="5" t="s">
        <v>208</v>
      </c>
      <c r="AU1066" s="5">
        <v>1173</v>
      </c>
      <c r="AV1066" s="5">
        <f>AU1066/40</f>
        <v>29.324999999999999</v>
      </c>
      <c r="AW1066" s="64"/>
      <c r="AX1066" s="5" t="s">
        <v>894</v>
      </c>
      <c r="BK1066" s="5">
        <v>1.82</v>
      </c>
      <c r="BL1066" s="5">
        <v>1.83</v>
      </c>
      <c r="BM1066" s="5" t="s">
        <v>891</v>
      </c>
      <c r="DS1066" s="46"/>
      <c r="DU1066" s="46"/>
      <c r="FA1066" s="5" t="s">
        <v>890</v>
      </c>
      <c r="FC1066" s="5">
        <v>50</v>
      </c>
    </row>
    <row r="1067" spans="1:159" s="5" customFormat="1" x14ac:dyDescent="0.25">
      <c r="A1067" s="5">
        <v>50</v>
      </c>
      <c r="B1067" s="5" t="s">
        <v>883</v>
      </c>
      <c r="C1067" s="5" t="s">
        <v>884</v>
      </c>
      <c r="D1067" s="5">
        <v>2000</v>
      </c>
      <c r="E1067" s="5">
        <v>1997</v>
      </c>
      <c r="F1067" s="5" t="s">
        <v>885</v>
      </c>
      <c r="H1067" s="5">
        <v>41.84</v>
      </c>
      <c r="I1067" s="5">
        <v>-85.68</v>
      </c>
      <c r="J1067" s="5">
        <v>244</v>
      </c>
      <c r="P1067" s="62" t="s">
        <v>181</v>
      </c>
      <c r="Q1067" s="62"/>
      <c r="R1067" s="62"/>
      <c r="S1067" s="62" t="s">
        <v>1672</v>
      </c>
      <c r="T1067" s="62" t="s">
        <v>1682</v>
      </c>
      <c r="X1067" s="5" t="s">
        <v>298</v>
      </c>
      <c r="AB1067" s="5" t="s">
        <v>1580</v>
      </c>
      <c r="AC1067" s="5" t="s">
        <v>166</v>
      </c>
      <c r="AD1067" s="153" t="str">
        <f t="shared" si="243"/>
        <v>Rye</v>
      </c>
      <c r="AE1067" s="5" t="s">
        <v>167</v>
      </c>
      <c r="AM1067" s="5" t="s">
        <v>888</v>
      </c>
      <c r="AN1067" s="5" t="s">
        <v>888</v>
      </c>
      <c r="AO1067" s="5" t="s">
        <v>230</v>
      </c>
      <c r="AP1067" s="5" t="s">
        <v>208</v>
      </c>
      <c r="AU1067" s="5">
        <v>2010</v>
      </c>
      <c r="AV1067" s="5">
        <f>AU1067/56</f>
        <v>35.892857142857146</v>
      </c>
      <c r="AW1067" s="64"/>
      <c r="AX1067" s="5" t="s">
        <v>894</v>
      </c>
      <c r="BK1067" s="5">
        <v>2.33</v>
      </c>
      <c r="BL1067" s="5">
        <v>1.92</v>
      </c>
      <c r="BM1067" s="5" t="s">
        <v>891</v>
      </c>
      <c r="DS1067" s="46"/>
      <c r="DU1067" s="46"/>
      <c r="FA1067" s="5" t="s">
        <v>890</v>
      </c>
      <c r="FC1067" s="5">
        <v>50</v>
      </c>
    </row>
    <row r="1068" spans="1:159" s="26" customFormat="1" x14ac:dyDescent="0.25">
      <c r="A1068" s="26">
        <v>51</v>
      </c>
      <c r="B1068" s="26" t="s">
        <v>896</v>
      </c>
      <c r="C1068" s="26" t="s">
        <v>897</v>
      </c>
      <c r="D1068" s="26">
        <v>2017</v>
      </c>
      <c r="E1068" s="26">
        <v>2011</v>
      </c>
      <c r="F1068" s="26" t="s">
        <v>357</v>
      </c>
      <c r="G1068" s="26" t="s">
        <v>381</v>
      </c>
      <c r="H1068" s="26">
        <v>40.716666666666669</v>
      </c>
      <c r="I1068" s="26">
        <v>-77.916666666666671</v>
      </c>
      <c r="J1068" s="26">
        <v>376</v>
      </c>
      <c r="N1068" s="26">
        <v>975</v>
      </c>
      <c r="P1068" s="52" t="s">
        <v>179</v>
      </c>
      <c r="Q1068" s="52"/>
      <c r="R1068" s="52"/>
      <c r="S1068" s="52" t="s">
        <v>1640</v>
      </c>
      <c r="T1068" s="52" t="s">
        <v>1640</v>
      </c>
      <c r="X1068" s="26" t="s">
        <v>168</v>
      </c>
      <c r="AC1068" s="26" t="s">
        <v>301</v>
      </c>
      <c r="AD1068" s="153" t="str">
        <f t="shared" si="243"/>
        <v>Vetch</v>
      </c>
      <c r="AE1068" s="26" t="s">
        <v>1636</v>
      </c>
      <c r="AP1068" s="26" t="s">
        <v>208</v>
      </c>
      <c r="DS1068" s="26">
        <v>1.71</v>
      </c>
      <c r="DT1068" s="26">
        <v>3.08</v>
      </c>
      <c r="DU1068" s="26" t="s">
        <v>898</v>
      </c>
      <c r="FA1068" s="26" t="s">
        <v>898</v>
      </c>
      <c r="FC1068" s="26">
        <v>51</v>
      </c>
    </row>
    <row r="1069" spans="1:159" s="26" customFormat="1" x14ac:dyDescent="0.25">
      <c r="A1069" s="26">
        <v>51</v>
      </c>
      <c r="B1069" s="26" t="s">
        <v>896</v>
      </c>
      <c r="C1069" s="26" t="s">
        <v>897</v>
      </c>
      <c r="D1069" s="26">
        <v>2017</v>
      </c>
      <c r="E1069" s="26">
        <v>2011</v>
      </c>
      <c r="F1069" s="26" t="s">
        <v>357</v>
      </c>
      <c r="G1069" s="26" t="s">
        <v>381</v>
      </c>
      <c r="H1069" s="26">
        <v>40.716666666666669</v>
      </c>
      <c r="I1069" s="26">
        <v>-77.916666666666671</v>
      </c>
      <c r="J1069" s="26">
        <v>376</v>
      </c>
      <c r="N1069" s="26">
        <v>975</v>
      </c>
      <c r="P1069" s="52" t="s">
        <v>179</v>
      </c>
      <c r="Q1069" s="52"/>
      <c r="R1069" s="52"/>
      <c r="S1069" s="52" t="s">
        <v>1640</v>
      </c>
      <c r="T1069" s="52" t="s">
        <v>1640</v>
      </c>
      <c r="X1069" s="26" t="s">
        <v>168</v>
      </c>
      <c r="AC1069" s="26" t="s">
        <v>166</v>
      </c>
      <c r="AD1069" s="153" t="str">
        <f t="shared" si="243"/>
        <v>Rye</v>
      </c>
      <c r="AE1069" s="26" t="s">
        <v>1636</v>
      </c>
      <c r="AP1069" s="26" t="s">
        <v>208</v>
      </c>
      <c r="DS1069" s="26">
        <v>1.71</v>
      </c>
      <c r="DT1069" s="26">
        <v>1.47</v>
      </c>
      <c r="DU1069" s="26" t="s">
        <v>898</v>
      </c>
      <c r="FA1069" s="26" t="s">
        <v>898</v>
      </c>
      <c r="FC1069" s="26">
        <v>51</v>
      </c>
    </row>
    <row r="1070" spans="1:159" s="31" customFormat="1" x14ac:dyDescent="0.25">
      <c r="A1070" s="31">
        <v>52</v>
      </c>
      <c r="B1070" s="31" t="s">
        <v>899</v>
      </c>
      <c r="C1070" s="31" t="s">
        <v>900</v>
      </c>
      <c r="D1070" s="31">
        <v>1998</v>
      </c>
      <c r="E1070" s="31">
        <v>1989</v>
      </c>
      <c r="F1070" s="31" t="s">
        <v>901</v>
      </c>
      <c r="H1070" s="31">
        <v>38.630000000000003</v>
      </c>
      <c r="I1070" s="31">
        <v>-75.459999999999994</v>
      </c>
      <c r="J1070" s="31">
        <v>10.8</v>
      </c>
      <c r="P1070" s="56" t="s">
        <v>179</v>
      </c>
      <c r="Q1070" s="56"/>
      <c r="R1070" s="56"/>
      <c r="S1070" s="56" t="s">
        <v>1647</v>
      </c>
      <c r="T1070" s="56" t="s">
        <v>1647</v>
      </c>
      <c r="X1070" s="31" t="s">
        <v>228</v>
      </c>
      <c r="AB1070" s="31" t="s">
        <v>1581</v>
      </c>
      <c r="AC1070" s="31" t="s">
        <v>166</v>
      </c>
      <c r="AD1070" s="153" t="str">
        <f t="shared" si="243"/>
        <v>Rye</v>
      </c>
      <c r="AE1070" s="31" t="s">
        <v>167</v>
      </c>
      <c r="AJ1070" s="31" t="s">
        <v>203</v>
      </c>
      <c r="AK1070" s="31" t="s">
        <v>203</v>
      </c>
      <c r="AL1070" s="31" t="s">
        <v>230</v>
      </c>
      <c r="AM1070" s="31" t="s">
        <v>902</v>
      </c>
      <c r="AN1070" s="31" t="s">
        <v>902</v>
      </c>
      <c r="AO1070" s="31" t="s">
        <v>230</v>
      </c>
      <c r="AP1070" s="31" t="s">
        <v>208</v>
      </c>
      <c r="AQ1070" s="31">
        <v>3</v>
      </c>
      <c r="AR1070" s="31">
        <v>3</v>
      </c>
      <c r="AS1070" s="31" t="s">
        <v>177</v>
      </c>
      <c r="BB1070" s="31">
        <v>8568</v>
      </c>
      <c r="BC1070" s="31">
        <v>8517</v>
      </c>
      <c r="BK1070" s="31">
        <f>(10.1+8.1)/2</f>
        <v>9.1</v>
      </c>
      <c r="BL1070" s="31">
        <f>(9.8+4)/2</f>
        <v>6.9</v>
      </c>
      <c r="DA1070" s="31">
        <v>64.2</v>
      </c>
      <c r="DB1070" s="31">
        <v>41.6</v>
      </c>
      <c r="DC1070" s="31" t="s">
        <v>913</v>
      </c>
      <c r="FA1070" s="31" t="s">
        <v>914</v>
      </c>
      <c r="FC1070" s="31">
        <v>52</v>
      </c>
    </row>
    <row r="1071" spans="1:159" s="31" customFormat="1" x14ac:dyDescent="0.25">
      <c r="A1071" s="31">
        <v>52</v>
      </c>
      <c r="B1071" s="31" t="s">
        <v>899</v>
      </c>
      <c r="C1071" s="31" t="s">
        <v>900</v>
      </c>
      <c r="D1071" s="31">
        <v>1998</v>
      </c>
      <c r="E1071" s="31">
        <v>1989</v>
      </c>
      <c r="F1071" s="31" t="s">
        <v>901</v>
      </c>
      <c r="H1071" s="31">
        <v>38.630000000000003</v>
      </c>
      <c r="I1071" s="31">
        <v>-75.459999999999994</v>
      </c>
      <c r="J1071" s="31">
        <v>10.8</v>
      </c>
      <c r="P1071" s="56" t="s">
        <v>179</v>
      </c>
      <c r="Q1071" s="56"/>
      <c r="R1071" s="56"/>
      <c r="S1071" s="56" t="s">
        <v>1647</v>
      </c>
      <c r="T1071" s="56" t="s">
        <v>1647</v>
      </c>
      <c r="X1071" s="31" t="s">
        <v>228</v>
      </c>
      <c r="AB1071" s="31" t="s">
        <v>1581</v>
      </c>
      <c r="AC1071" s="31" t="s">
        <v>166</v>
      </c>
      <c r="AD1071" s="153" t="str">
        <f t="shared" si="243"/>
        <v>Rye</v>
      </c>
      <c r="AE1071" s="31" t="s">
        <v>167</v>
      </c>
      <c r="AJ1071" s="31" t="s">
        <v>203</v>
      </c>
      <c r="AK1071" s="31" t="s">
        <v>203</v>
      </c>
      <c r="AL1071" s="31" t="s">
        <v>230</v>
      </c>
      <c r="AM1071" s="31" t="s">
        <v>903</v>
      </c>
      <c r="AN1071" s="31" t="s">
        <v>903</v>
      </c>
      <c r="AO1071" s="31" t="s">
        <v>230</v>
      </c>
      <c r="AP1071" s="31" t="s">
        <v>208</v>
      </c>
      <c r="AQ1071" s="31">
        <v>3</v>
      </c>
      <c r="AR1071" s="31">
        <v>3</v>
      </c>
      <c r="AS1071" s="31" t="s">
        <v>177</v>
      </c>
      <c r="BB1071" s="31">
        <v>8517</v>
      </c>
      <c r="BC1071" s="31">
        <v>8210</v>
      </c>
      <c r="BK1071" s="31">
        <f>(7.5+7)/2</f>
        <v>7.25</v>
      </c>
      <c r="BL1071" s="31">
        <f>(8.5+8.4)/2</f>
        <v>8.4499999999999993</v>
      </c>
      <c r="DA1071" s="31">
        <v>43.8</v>
      </c>
      <c r="DB1071" s="31">
        <v>37.799999999999997</v>
      </c>
      <c r="DC1071" s="31" t="s">
        <v>913</v>
      </c>
      <c r="FA1071" s="31" t="s">
        <v>914</v>
      </c>
      <c r="FC1071" s="31">
        <v>52</v>
      </c>
    </row>
    <row r="1072" spans="1:159" s="31" customFormat="1" x14ac:dyDescent="0.25">
      <c r="A1072" s="31">
        <v>52</v>
      </c>
      <c r="B1072" s="31" t="s">
        <v>899</v>
      </c>
      <c r="C1072" s="31" t="s">
        <v>900</v>
      </c>
      <c r="D1072" s="31">
        <v>1998</v>
      </c>
      <c r="E1072" s="31">
        <v>1989</v>
      </c>
      <c r="F1072" s="31" t="s">
        <v>901</v>
      </c>
      <c r="H1072" s="31">
        <v>38.630000000000003</v>
      </c>
      <c r="I1072" s="31">
        <v>-75.459999999999994</v>
      </c>
      <c r="J1072" s="31">
        <v>10.8</v>
      </c>
      <c r="P1072" s="56" t="s">
        <v>179</v>
      </c>
      <c r="Q1072" s="56"/>
      <c r="R1072" s="56"/>
      <c r="S1072" s="56" t="s">
        <v>1647</v>
      </c>
      <c r="T1072" s="56" t="s">
        <v>1647</v>
      </c>
      <c r="X1072" s="31" t="s">
        <v>228</v>
      </c>
      <c r="AB1072" s="31" t="s">
        <v>1581</v>
      </c>
      <c r="AC1072" s="31" t="s">
        <v>166</v>
      </c>
      <c r="AD1072" s="153" t="str">
        <f t="shared" si="243"/>
        <v>Rye</v>
      </c>
      <c r="AE1072" s="31" t="s">
        <v>167</v>
      </c>
      <c r="AJ1072" s="31" t="s">
        <v>203</v>
      </c>
      <c r="AK1072" s="31" t="s">
        <v>203</v>
      </c>
      <c r="AL1072" s="31" t="s">
        <v>230</v>
      </c>
      <c r="AM1072" s="31" t="s">
        <v>904</v>
      </c>
      <c r="AN1072" s="31" t="s">
        <v>904</v>
      </c>
      <c r="AO1072" s="31" t="s">
        <v>230</v>
      </c>
      <c r="AP1072" s="31" t="s">
        <v>208</v>
      </c>
      <c r="AQ1072" s="31">
        <v>3</v>
      </c>
      <c r="AR1072" s="31">
        <v>3</v>
      </c>
      <c r="AS1072" s="31" t="s">
        <v>177</v>
      </c>
      <c r="BB1072" s="31">
        <v>7764</v>
      </c>
      <c r="BC1072" s="31">
        <v>8391</v>
      </c>
      <c r="DA1072" s="31">
        <v>58.1</v>
      </c>
      <c r="DB1072" s="31">
        <v>40.799999999999997</v>
      </c>
      <c r="DC1072" s="31" t="s">
        <v>913</v>
      </c>
      <c r="FA1072" s="31" t="s">
        <v>914</v>
      </c>
      <c r="FC1072" s="31">
        <v>52</v>
      </c>
    </row>
    <row r="1073" spans="1:159" s="31" customFormat="1" x14ac:dyDescent="0.25">
      <c r="A1073" s="31">
        <v>52</v>
      </c>
      <c r="B1073" s="31" t="s">
        <v>899</v>
      </c>
      <c r="C1073" s="31" t="s">
        <v>900</v>
      </c>
      <c r="D1073" s="31">
        <v>1998</v>
      </c>
      <c r="E1073" s="31">
        <v>1989</v>
      </c>
      <c r="F1073" s="31" t="s">
        <v>901</v>
      </c>
      <c r="H1073" s="31">
        <v>38.630000000000003</v>
      </c>
      <c r="I1073" s="31">
        <v>-75.459999999999994</v>
      </c>
      <c r="J1073" s="31">
        <v>10.8</v>
      </c>
      <c r="P1073" s="56" t="s">
        <v>179</v>
      </c>
      <c r="Q1073" s="56"/>
      <c r="R1073" s="56"/>
      <c r="S1073" s="56" t="s">
        <v>1647</v>
      </c>
      <c r="T1073" s="56" t="s">
        <v>1647</v>
      </c>
      <c r="X1073" s="31" t="s">
        <v>228</v>
      </c>
      <c r="AB1073" s="31" t="s">
        <v>1581</v>
      </c>
      <c r="AC1073" s="31" t="s">
        <v>166</v>
      </c>
      <c r="AD1073" s="153" t="str">
        <f t="shared" si="243"/>
        <v>Rye</v>
      </c>
      <c r="AE1073" s="31" t="s">
        <v>167</v>
      </c>
      <c r="AJ1073" s="31" t="s">
        <v>203</v>
      </c>
      <c r="AK1073" s="31" t="s">
        <v>203</v>
      </c>
      <c r="AL1073" s="31" t="s">
        <v>230</v>
      </c>
      <c r="AM1073" s="31" t="s">
        <v>904</v>
      </c>
      <c r="AN1073" s="31" t="s">
        <v>904</v>
      </c>
      <c r="AO1073" s="31" t="s">
        <v>230</v>
      </c>
      <c r="AP1073" s="31" t="s">
        <v>208</v>
      </c>
      <c r="AQ1073" s="31">
        <v>3</v>
      </c>
      <c r="AR1073" s="31">
        <v>3</v>
      </c>
      <c r="AS1073" s="31" t="s">
        <v>177</v>
      </c>
      <c r="DA1073" s="31">
        <v>24</v>
      </c>
      <c r="DB1073" s="31">
        <v>15.8</v>
      </c>
      <c r="DC1073" s="31" t="s">
        <v>913</v>
      </c>
      <c r="FA1073" s="31" t="s">
        <v>914</v>
      </c>
      <c r="FC1073" s="31">
        <v>52</v>
      </c>
    </row>
    <row r="1074" spans="1:159" s="38" customFormat="1" x14ac:dyDescent="0.25">
      <c r="A1074" s="38">
        <v>52</v>
      </c>
      <c r="B1074" s="38" t="s">
        <v>899</v>
      </c>
      <c r="C1074" s="38" t="s">
        <v>900</v>
      </c>
      <c r="D1074" s="38">
        <v>1998</v>
      </c>
      <c r="E1074" s="38">
        <v>1989</v>
      </c>
      <c r="F1074" s="38" t="s">
        <v>901</v>
      </c>
      <c r="H1074" s="38">
        <v>38.630000000000003</v>
      </c>
      <c r="I1074" s="38">
        <v>-75.459999999999994</v>
      </c>
      <c r="J1074" s="38">
        <v>10.8</v>
      </c>
      <c r="P1074" s="57" t="s">
        <v>179</v>
      </c>
      <c r="Q1074" s="57"/>
      <c r="R1074" s="57"/>
      <c r="S1074" s="57" t="s">
        <v>1647</v>
      </c>
      <c r="T1074" s="57" t="s">
        <v>1647</v>
      </c>
      <c r="X1074" s="38" t="s">
        <v>228</v>
      </c>
      <c r="AB1074" s="38" t="s">
        <v>1581</v>
      </c>
      <c r="AC1074" s="38" t="s">
        <v>166</v>
      </c>
      <c r="AD1074" s="153" t="str">
        <f t="shared" si="243"/>
        <v>Rye</v>
      </c>
      <c r="AE1074" s="38" t="s">
        <v>167</v>
      </c>
      <c r="AJ1074" s="38" t="s">
        <v>289</v>
      </c>
      <c r="AK1074" s="38" t="s">
        <v>289</v>
      </c>
      <c r="AL1074" s="38" t="s">
        <v>230</v>
      </c>
      <c r="AM1074" s="38" t="s">
        <v>902</v>
      </c>
      <c r="AN1074" s="38" t="s">
        <v>902</v>
      </c>
      <c r="AO1074" s="38" t="s">
        <v>230</v>
      </c>
      <c r="AP1074" s="38" t="s">
        <v>208</v>
      </c>
      <c r="AQ1074" s="38">
        <v>3</v>
      </c>
      <c r="AR1074" s="38">
        <v>3</v>
      </c>
      <c r="AS1074" s="38" t="s">
        <v>177</v>
      </c>
      <c r="BB1074" s="38">
        <v>8210</v>
      </c>
      <c r="BC1074" s="38">
        <v>7539</v>
      </c>
      <c r="BK1074" s="38">
        <f>(9.8+4.8)/2</f>
        <v>7.3000000000000007</v>
      </c>
      <c r="BL1074" s="38">
        <f>(7.7+6.4)/2</f>
        <v>7.0500000000000007</v>
      </c>
      <c r="DA1074" s="38">
        <v>61.6</v>
      </c>
      <c r="DB1074" s="38">
        <v>31</v>
      </c>
      <c r="DC1074" s="38" t="s">
        <v>913</v>
      </c>
      <c r="FA1074" s="38" t="s">
        <v>914</v>
      </c>
      <c r="FC1074" s="38">
        <v>52</v>
      </c>
    </row>
    <row r="1075" spans="1:159" s="38" customFormat="1" x14ac:dyDescent="0.25">
      <c r="A1075" s="38">
        <v>52</v>
      </c>
      <c r="B1075" s="38" t="s">
        <v>899</v>
      </c>
      <c r="C1075" s="38" t="s">
        <v>900</v>
      </c>
      <c r="D1075" s="38">
        <v>1998</v>
      </c>
      <c r="E1075" s="38">
        <v>1989</v>
      </c>
      <c r="F1075" s="38" t="s">
        <v>901</v>
      </c>
      <c r="H1075" s="38">
        <v>38.630000000000003</v>
      </c>
      <c r="I1075" s="38">
        <v>-75.459999999999994</v>
      </c>
      <c r="J1075" s="38">
        <v>10.8</v>
      </c>
      <c r="P1075" s="57" t="s">
        <v>179</v>
      </c>
      <c r="Q1075" s="57"/>
      <c r="R1075" s="57"/>
      <c r="S1075" s="57" t="s">
        <v>1647</v>
      </c>
      <c r="T1075" s="57" t="s">
        <v>1647</v>
      </c>
      <c r="X1075" s="38" t="s">
        <v>228</v>
      </c>
      <c r="AB1075" s="38" t="s">
        <v>1581</v>
      </c>
      <c r="AC1075" s="38" t="s">
        <v>166</v>
      </c>
      <c r="AD1075" s="153" t="str">
        <f t="shared" si="243"/>
        <v>Rye</v>
      </c>
      <c r="AE1075" s="38" t="s">
        <v>167</v>
      </c>
      <c r="AJ1075" s="38" t="s">
        <v>289</v>
      </c>
      <c r="AK1075" s="38" t="s">
        <v>289</v>
      </c>
      <c r="AL1075" s="38" t="s">
        <v>230</v>
      </c>
      <c r="AM1075" s="38" t="s">
        <v>903</v>
      </c>
      <c r="AN1075" s="38" t="s">
        <v>903</v>
      </c>
      <c r="AO1075" s="38" t="s">
        <v>230</v>
      </c>
      <c r="AP1075" s="38" t="s">
        <v>208</v>
      </c>
      <c r="AQ1075" s="38">
        <v>3</v>
      </c>
      <c r="AR1075" s="38">
        <v>3</v>
      </c>
      <c r="AS1075" s="38" t="s">
        <v>177</v>
      </c>
      <c r="BB1075" s="38">
        <v>8963</v>
      </c>
      <c r="BC1075" s="38">
        <v>8109</v>
      </c>
      <c r="BK1075" s="38">
        <f>(9.9+7)/2</f>
        <v>8.4499999999999993</v>
      </c>
      <c r="BL1075" s="38">
        <f>(7.7+6.8)/2</f>
        <v>7.25</v>
      </c>
      <c r="DA1075" s="38">
        <v>33</v>
      </c>
      <c r="DB1075" s="38">
        <v>37.299999999999997</v>
      </c>
      <c r="DC1075" s="38" t="s">
        <v>913</v>
      </c>
      <c r="FA1075" s="38" t="s">
        <v>914</v>
      </c>
      <c r="FC1075" s="38">
        <v>52</v>
      </c>
    </row>
    <row r="1076" spans="1:159" s="38" customFormat="1" x14ac:dyDescent="0.25">
      <c r="A1076" s="38">
        <v>52</v>
      </c>
      <c r="B1076" s="38" t="s">
        <v>899</v>
      </c>
      <c r="C1076" s="38" t="s">
        <v>900</v>
      </c>
      <c r="D1076" s="38">
        <v>1998</v>
      </c>
      <c r="E1076" s="38">
        <v>1989</v>
      </c>
      <c r="F1076" s="38" t="s">
        <v>901</v>
      </c>
      <c r="H1076" s="38">
        <v>38.630000000000003</v>
      </c>
      <c r="I1076" s="38">
        <v>-75.459999999999994</v>
      </c>
      <c r="J1076" s="38">
        <v>10.8</v>
      </c>
      <c r="P1076" s="57" t="s">
        <v>179</v>
      </c>
      <c r="Q1076" s="57"/>
      <c r="R1076" s="57"/>
      <c r="S1076" s="57" t="s">
        <v>1647</v>
      </c>
      <c r="T1076" s="57" t="s">
        <v>1647</v>
      </c>
      <c r="X1076" s="38" t="s">
        <v>228</v>
      </c>
      <c r="AB1076" s="38" t="s">
        <v>1581</v>
      </c>
      <c r="AC1076" s="38" t="s">
        <v>166</v>
      </c>
      <c r="AD1076" s="153" t="str">
        <f t="shared" si="243"/>
        <v>Rye</v>
      </c>
      <c r="AE1076" s="38" t="s">
        <v>167</v>
      </c>
      <c r="AJ1076" s="38" t="s">
        <v>289</v>
      </c>
      <c r="AK1076" s="38" t="s">
        <v>289</v>
      </c>
      <c r="AL1076" s="38" t="s">
        <v>230</v>
      </c>
      <c r="AM1076" s="38" t="s">
        <v>904</v>
      </c>
      <c r="AN1076" s="38" t="s">
        <v>904</v>
      </c>
      <c r="AO1076" s="38" t="s">
        <v>230</v>
      </c>
      <c r="AP1076" s="38" t="s">
        <v>208</v>
      </c>
      <c r="AQ1076" s="38">
        <v>3</v>
      </c>
      <c r="AR1076" s="38">
        <v>3</v>
      </c>
      <c r="AS1076" s="38" t="s">
        <v>177</v>
      </c>
      <c r="BB1076" s="38">
        <v>8957</v>
      </c>
      <c r="BC1076" s="38">
        <v>8379</v>
      </c>
      <c r="DA1076" s="38">
        <v>64.400000000000006</v>
      </c>
      <c r="DB1076" s="38">
        <v>46.2</v>
      </c>
      <c r="DC1076" s="38" t="s">
        <v>913</v>
      </c>
      <c r="FA1076" s="38" t="s">
        <v>914</v>
      </c>
      <c r="FC1076" s="38">
        <v>52</v>
      </c>
    </row>
    <row r="1077" spans="1:159" s="38" customFormat="1" x14ac:dyDescent="0.25">
      <c r="A1077" s="38">
        <v>52</v>
      </c>
      <c r="B1077" s="38" t="s">
        <v>899</v>
      </c>
      <c r="C1077" s="38" t="s">
        <v>900</v>
      </c>
      <c r="D1077" s="38">
        <v>1998</v>
      </c>
      <c r="E1077" s="38">
        <v>1989</v>
      </c>
      <c r="F1077" s="38" t="s">
        <v>901</v>
      </c>
      <c r="H1077" s="38">
        <v>38.630000000000003</v>
      </c>
      <c r="I1077" s="38">
        <v>-75.459999999999994</v>
      </c>
      <c r="J1077" s="38">
        <v>10.8</v>
      </c>
      <c r="P1077" s="57" t="s">
        <v>179</v>
      </c>
      <c r="Q1077" s="57"/>
      <c r="R1077" s="57"/>
      <c r="S1077" s="57" t="s">
        <v>1647</v>
      </c>
      <c r="T1077" s="57" t="s">
        <v>1647</v>
      </c>
      <c r="X1077" s="38" t="s">
        <v>228</v>
      </c>
      <c r="AB1077" s="38" t="s">
        <v>1581</v>
      </c>
      <c r="AC1077" s="38" t="s">
        <v>166</v>
      </c>
      <c r="AD1077" s="153" t="str">
        <f t="shared" si="243"/>
        <v>Rye</v>
      </c>
      <c r="AE1077" s="38" t="s">
        <v>167</v>
      </c>
      <c r="AJ1077" s="38" t="s">
        <v>289</v>
      </c>
      <c r="AK1077" s="38" t="s">
        <v>289</v>
      </c>
      <c r="AL1077" s="38" t="s">
        <v>230</v>
      </c>
      <c r="AM1077" s="38" t="s">
        <v>904</v>
      </c>
      <c r="AN1077" s="38" t="s">
        <v>904</v>
      </c>
      <c r="AO1077" s="38" t="s">
        <v>230</v>
      </c>
      <c r="AP1077" s="38" t="s">
        <v>208</v>
      </c>
      <c r="AQ1077" s="38">
        <v>3</v>
      </c>
      <c r="AR1077" s="38">
        <v>3</v>
      </c>
      <c r="AS1077" s="38" t="s">
        <v>177</v>
      </c>
      <c r="DA1077" s="38">
        <v>23.5</v>
      </c>
      <c r="DB1077" s="38">
        <v>24.1</v>
      </c>
      <c r="DC1077" s="38" t="s">
        <v>913</v>
      </c>
      <c r="FA1077" s="38" t="s">
        <v>914</v>
      </c>
      <c r="FC1077" s="38">
        <v>52</v>
      </c>
    </row>
    <row r="1078" spans="1:159" s="31" customFormat="1" x14ac:dyDescent="0.25">
      <c r="A1078" s="31">
        <v>52</v>
      </c>
      <c r="B1078" s="31" t="s">
        <v>899</v>
      </c>
      <c r="C1078" s="31" t="s">
        <v>900</v>
      </c>
      <c r="D1078" s="31">
        <v>1998</v>
      </c>
      <c r="E1078" s="31">
        <v>1990</v>
      </c>
      <c r="F1078" s="31" t="s">
        <v>901</v>
      </c>
      <c r="H1078" s="31">
        <v>38.630000000000003</v>
      </c>
      <c r="I1078" s="31">
        <v>-75.459999999999994</v>
      </c>
      <c r="J1078" s="31">
        <v>10.8</v>
      </c>
      <c r="P1078" s="56" t="s">
        <v>180</v>
      </c>
      <c r="Q1078" s="56"/>
      <c r="R1078" s="56"/>
      <c r="S1078" s="56" t="s">
        <v>1647</v>
      </c>
      <c r="T1078" s="56" t="s">
        <v>1647</v>
      </c>
      <c r="X1078" s="31" t="s">
        <v>228</v>
      </c>
      <c r="AB1078" s="31" t="s">
        <v>1581</v>
      </c>
      <c r="AC1078" s="31" t="s">
        <v>166</v>
      </c>
      <c r="AD1078" s="153" t="str">
        <f t="shared" si="243"/>
        <v>Rye</v>
      </c>
      <c r="AE1078" s="31" t="s">
        <v>167</v>
      </c>
      <c r="AJ1078" s="31" t="s">
        <v>203</v>
      </c>
      <c r="AK1078" s="31" t="s">
        <v>203</v>
      </c>
      <c r="AL1078" s="31" t="s">
        <v>230</v>
      </c>
      <c r="AM1078" s="31" t="s">
        <v>902</v>
      </c>
      <c r="AN1078" s="31" t="s">
        <v>902</v>
      </c>
      <c r="AO1078" s="31" t="s">
        <v>230</v>
      </c>
      <c r="AP1078" s="31" t="s">
        <v>208</v>
      </c>
      <c r="AQ1078" s="31">
        <v>3</v>
      </c>
      <c r="AR1078" s="31">
        <v>3</v>
      </c>
      <c r="AS1078" s="31" t="s">
        <v>177</v>
      </c>
      <c r="BB1078" s="31">
        <v>7009</v>
      </c>
      <c r="BC1078" s="31">
        <v>7323</v>
      </c>
      <c r="BK1078" s="31">
        <f>(3.6+6.5+8.8)/3</f>
        <v>6.3</v>
      </c>
      <c r="BL1078" s="31">
        <f>(2.9+9+6.7)/3</f>
        <v>6.2</v>
      </c>
      <c r="DA1078" s="31">
        <v>41.6</v>
      </c>
      <c r="DB1078" s="31">
        <v>27.2</v>
      </c>
      <c r="DC1078" s="31" t="s">
        <v>913</v>
      </c>
      <c r="FA1078" s="31" t="s">
        <v>914</v>
      </c>
      <c r="FC1078" s="31">
        <v>52</v>
      </c>
    </row>
    <row r="1079" spans="1:159" s="31" customFormat="1" x14ac:dyDescent="0.25">
      <c r="A1079" s="31">
        <v>52</v>
      </c>
      <c r="B1079" s="31" t="s">
        <v>899</v>
      </c>
      <c r="C1079" s="31" t="s">
        <v>900</v>
      </c>
      <c r="D1079" s="31">
        <v>1998</v>
      </c>
      <c r="E1079" s="31">
        <v>1990</v>
      </c>
      <c r="F1079" s="31" t="s">
        <v>901</v>
      </c>
      <c r="H1079" s="31">
        <v>38.630000000000003</v>
      </c>
      <c r="I1079" s="31">
        <v>-75.459999999999994</v>
      </c>
      <c r="J1079" s="31">
        <v>10.8</v>
      </c>
      <c r="P1079" s="56" t="s">
        <v>180</v>
      </c>
      <c r="Q1079" s="56"/>
      <c r="R1079" s="56"/>
      <c r="S1079" s="56" t="s">
        <v>1647</v>
      </c>
      <c r="T1079" s="56" t="s">
        <v>1647</v>
      </c>
      <c r="X1079" s="31" t="s">
        <v>228</v>
      </c>
      <c r="AB1079" s="31" t="s">
        <v>1581</v>
      </c>
      <c r="AC1079" s="31" t="s">
        <v>166</v>
      </c>
      <c r="AD1079" s="153" t="str">
        <f t="shared" si="243"/>
        <v>Rye</v>
      </c>
      <c r="AE1079" s="31" t="s">
        <v>167</v>
      </c>
      <c r="AJ1079" s="31" t="s">
        <v>203</v>
      </c>
      <c r="AK1079" s="31" t="s">
        <v>203</v>
      </c>
      <c r="AL1079" s="31" t="s">
        <v>230</v>
      </c>
      <c r="AM1079" s="31" t="s">
        <v>903</v>
      </c>
      <c r="AN1079" s="31" t="s">
        <v>903</v>
      </c>
      <c r="AO1079" s="31" t="s">
        <v>230</v>
      </c>
      <c r="AP1079" s="31" t="s">
        <v>208</v>
      </c>
      <c r="AQ1079" s="31">
        <v>3</v>
      </c>
      <c r="AR1079" s="31">
        <v>3</v>
      </c>
      <c r="AS1079" s="31" t="s">
        <v>177</v>
      </c>
      <c r="BB1079" s="31">
        <v>6475</v>
      </c>
      <c r="BC1079" s="31">
        <v>7025</v>
      </c>
      <c r="DA1079" s="31">
        <v>45.7</v>
      </c>
      <c r="DB1079" s="31">
        <v>31.4</v>
      </c>
      <c r="DC1079" s="31" t="s">
        <v>913</v>
      </c>
      <c r="FA1079" s="31" t="s">
        <v>914</v>
      </c>
      <c r="FC1079" s="31">
        <v>52</v>
      </c>
    </row>
    <row r="1080" spans="1:159" s="31" customFormat="1" x14ac:dyDescent="0.25">
      <c r="A1080" s="31">
        <v>52</v>
      </c>
      <c r="B1080" s="31" t="s">
        <v>899</v>
      </c>
      <c r="C1080" s="31" t="s">
        <v>900</v>
      </c>
      <c r="D1080" s="31">
        <v>1998</v>
      </c>
      <c r="E1080" s="31">
        <v>1990</v>
      </c>
      <c r="F1080" s="31" t="s">
        <v>901</v>
      </c>
      <c r="H1080" s="31">
        <v>38.630000000000003</v>
      </c>
      <c r="I1080" s="31">
        <v>-75.459999999999994</v>
      </c>
      <c r="J1080" s="31">
        <v>10.8</v>
      </c>
      <c r="P1080" s="56" t="s">
        <v>180</v>
      </c>
      <c r="Q1080" s="56"/>
      <c r="R1080" s="56"/>
      <c r="S1080" s="56" t="s">
        <v>1647</v>
      </c>
      <c r="T1080" s="56" t="s">
        <v>1647</v>
      </c>
      <c r="X1080" s="31" t="s">
        <v>228</v>
      </c>
      <c r="AB1080" s="31" t="s">
        <v>1581</v>
      </c>
      <c r="AC1080" s="31" t="s">
        <v>166</v>
      </c>
      <c r="AD1080" s="153" t="str">
        <f t="shared" si="243"/>
        <v>Rye</v>
      </c>
      <c r="AE1080" s="31" t="s">
        <v>167</v>
      </c>
      <c r="AJ1080" s="31" t="s">
        <v>203</v>
      </c>
      <c r="AK1080" s="31" t="s">
        <v>203</v>
      </c>
      <c r="AL1080" s="31" t="s">
        <v>230</v>
      </c>
      <c r="AM1080" s="31" t="s">
        <v>904</v>
      </c>
      <c r="AN1080" s="31" t="s">
        <v>904</v>
      </c>
      <c r="AO1080" s="31" t="s">
        <v>230</v>
      </c>
      <c r="AP1080" s="31" t="s">
        <v>208</v>
      </c>
      <c r="AQ1080" s="31">
        <v>3</v>
      </c>
      <c r="AR1080" s="31">
        <v>3</v>
      </c>
      <c r="AS1080" s="31" t="s">
        <v>177</v>
      </c>
      <c r="BB1080" s="31">
        <v>6617</v>
      </c>
      <c r="BC1080" s="31">
        <v>7291</v>
      </c>
      <c r="DA1080" s="31">
        <v>25.3</v>
      </c>
      <c r="DB1080" s="31">
        <v>19.399999999999999</v>
      </c>
      <c r="DC1080" s="31" t="s">
        <v>913</v>
      </c>
      <c r="FA1080" s="31" t="s">
        <v>914</v>
      </c>
      <c r="FC1080" s="31">
        <v>52</v>
      </c>
    </row>
    <row r="1081" spans="1:159" s="31" customFormat="1" x14ac:dyDescent="0.25">
      <c r="A1081" s="31">
        <v>52</v>
      </c>
      <c r="B1081" s="31" t="s">
        <v>899</v>
      </c>
      <c r="C1081" s="31" t="s">
        <v>900</v>
      </c>
      <c r="D1081" s="31">
        <v>1998</v>
      </c>
      <c r="E1081" s="31">
        <v>1990</v>
      </c>
      <c r="F1081" s="31" t="s">
        <v>901</v>
      </c>
      <c r="H1081" s="31">
        <v>38.630000000000003</v>
      </c>
      <c r="I1081" s="31">
        <v>-75.459999999999994</v>
      </c>
      <c r="J1081" s="31">
        <v>10.8</v>
      </c>
      <c r="P1081" s="56" t="s">
        <v>180</v>
      </c>
      <c r="Q1081" s="56"/>
      <c r="R1081" s="56"/>
      <c r="S1081" s="56" t="s">
        <v>1647</v>
      </c>
      <c r="T1081" s="56" t="s">
        <v>1647</v>
      </c>
      <c r="X1081" s="31" t="s">
        <v>228</v>
      </c>
      <c r="AB1081" s="31" t="s">
        <v>1581</v>
      </c>
      <c r="AC1081" s="31" t="s">
        <v>166</v>
      </c>
      <c r="AD1081" s="153" t="str">
        <f t="shared" si="243"/>
        <v>Rye</v>
      </c>
      <c r="AE1081" s="31" t="s">
        <v>167</v>
      </c>
      <c r="AJ1081" s="31" t="s">
        <v>203</v>
      </c>
      <c r="AK1081" s="31" t="s">
        <v>203</v>
      </c>
      <c r="AL1081" s="31" t="s">
        <v>230</v>
      </c>
      <c r="AM1081" s="31" t="s">
        <v>904</v>
      </c>
      <c r="AN1081" s="31" t="s">
        <v>904</v>
      </c>
      <c r="AO1081" s="31" t="s">
        <v>230</v>
      </c>
      <c r="AP1081" s="31" t="s">
        <v>208</v>
      </c>
      <c r="AQ1081" s="31">
        <v>3</v>
      </c>
      <c r="AR1081" s="31">
        <v>3</v>
      </c>
      <c r="AS1081" s="31" t="s">
        <v>177</v>
      </c>
      <c r="DA1081" s="31">
        <v>3.6</v>
      </c>
      <c r="DB1081" s="31">
        <v>4.4000000000000004</v>
      </c>
      <c r="DC1081" s="31" t="s">
        <v>913</v>
      </c>
      <c r="FA1081" s="31" t="s">
        <v>914</v>
      </c>
      <c r="FC1081" s="31">
        <v>52</v>
      </c>
    </row>
    <row r="1082" spans="1:159" s="38" customFormat="1" x14ac:dyDescent="0.25">
      <c r="A1082" s="38">
        <v>52</v>
      </c>
      <c r="B1082" s="38" t="s">
        <v>899</v>
      </c>
      <c r="C1082" s="38" t="s">
        <v>900</v>
      </c>
      <c r="D1082" s="38">
        <v>1998</v>
      </c>
      <c r="E1082" s="38">
        <v>1990</v>
      </c>
      <c r="F1082" s="38" t="s">
        <v>901</v>
      </c>
      <c r="H1082" s="38">
        <v>38.630000000000003</v>
      </c>
      <c r="I1082" s="38">
        <v>-75.459999999999994</v>
      </c>
      <c r="J1082" s="38">
        <v>10.8</v>
      </c>
      <c r="P1082" s="57" t="s">
        <v>180</v>
      </c>
      <c r="Q1082" s="57"/>
      <c r="R1082" s="57"/>
      <c r="S1082" s="57" t="s">
        <v>1647</v>
      </c>
      <c r="T1082" s="57" t="s">
        <v>1647</v>
      </c>
      <c r="X1082" s="38" t="s">
        <v>228</v>
      </c>
      <c r="AB1082" s="38" t="s">
        <v>1581</v>
      </c>
      <c r="AC1082" s="38" t="s">
        <v>166</v>
      </c>
      <c r="AD1082" s="153" t="str">
        <f t="shared" si="243"/>
        <v>Rye</v>
      </c>
      <c r="AE1082" s="38" t="s">
        <v>167</v>
      </c>
      <c r="AJ1082" s="38" t="s">
        <v>289</v>
      </c>
      <c r="AK1082" s="38" t="s">
        <v>289</v>
      </c>
      <c r="AL1082" s="38" t="s">
        <v>230</v>
      </c>
      <c r="AM1082" s="38" t="s">
        <v>902</v>
      </c>
      <c r="AN1082" s="38" t="s">
        <v>902</v>
      </c>
      <c r="AO1082" s="38" t="s">
        <v>230</v>
      </c>
      <c r="AP1082" s="38" t="s">
        <v>208</v>
      </c>
      <c r="AQ1082" s="38">
        <v>3</v>
      </c>
      <c r="AR1082" s="38">
        <v>3</v>
      </c>
      <c r="AS1082" s="38" t="s">
        <v>177</v>
      </c>
      <c r="BB1082" s="38">
        <v>8593</v>
      </c>
      <c r="BC1082" s="38">
        <v>8059</v>
      </c>
      <c r="BK1082" s="38">
        <f>(3.3+6.6+7.9)/3</f>
        <v>5.9333333333333327</v>
      </c>
      <c r="BL1082" s="38">
        <f>(2.3+7.3+6.3)/3</f>
        <v>5.3</v>
      </c>
      <c r="DA1082" s="38">
        <v>31.1</v>
      </c>
      <c r="DB1082" s="38">
        <v>48.6</v>
      </c>
      <c r="DC1082" s="38" t="s">
        <v>913</v>
      </c>
      <c r="FA1082" s="38" t="s">
        <v>914</v>
      </c>
      <c r="FC1082" s="38">
        <v>52</v>
      </c>
    </row>
    <row r="1083" spans="1:159" s="38" customFormat="1" x14ac:dyDescent="0.25">
      <c r="A1083" s="38">
        <v>52</v>
      </c>
      <c r="B1083" s="38" t="s">
        <v>899</v>
      </c>
      <c r="C1083" s="38" t="s">
        <v>900</v>
      </c>
      <c r="D1083" s="38">
        <v>1998</v>
      </c>
      <c r="E1083" s="38">
        <v>1990</v>
      </c>
      <c r="F1083" s="38" t="s">
        <v>901</v>
      </c>
      <c r="H1083" s="38">
        <v>38.630000000000003</v>
      </c>
      <c r="I1083" s="38">
        <v>-75.459999999999994</v>
      </c>
      <c r="J1083" s="38">
        <v>10.8</v>
      </c>
      <c r="P1083" s="57" t="s">
        <v>180</v>
      </c>
      <c r="Q1083" s="57"/>
      <c r="R1083" s="57"/>
      <c r="S1083" s="57" t="s">
        <v>1647</v>
      </c>
      <c r="T1083" s="57" t="s">
        <v>1647</v>
      </c>
      <c r="X1083" s="38" t="s">
        <v>228</v>
      </c>
      <c r="AB1083" s="38" t="s">
        <v>1581</v>
      </c>
      <c r="AC1083" s="38" t="s">
        <v>166</v>
      </c>
      <c r="AD1083" s="153" t="str">
        <f t="shared" si="243"/>
        <v>Rye</v>
      </c>
      <c r="AE1083" s="38" t="s">
        <v>167</v>
      </c>
      <c r="AJ1083" s="38" t="s">
        <v>289</v>
      </c>
      <c r="AK1083" s="38" t="s">
        <v>289</v>
      </c>
      <c r="AL1083" s="38" t="s">
        <v>230</v>
      </c>
      <c r="AM1083" s="38" t="s">
        <v>903</v>
      </c>
      <c r="AN1083" s="38" t="s">
        <v>903</v>
      </c>
      <c r="AO1083" s="38" t="s">
        <v>230</v>
      </c>
      <c r="AP1083" s="38" t="s">
        <v>208</v>
      </c>
      <c r="AQ1083" s="38">
        <v>3</v>
      </c>
      <c r="AR1083" s="38">
        <v>3</v>
      </c>
      <c r="AS1083" s="38" t="s">
        <v>177</v>
      </c>
      <c r="BB1083" s="38">
        <v>7558</v>
      </c>
      <c r="BC1083" s="38">
        <v>7401</v>
      </c>
      <c r="DA1083" s="38">
        <v>37.4</v>
      </c>
      <c r="DB1083" s="38">
        <v>35.1</v>
      </c>
      <c r="DC1083" s="38" t="s">
        <v>913</v>
      </c>
      <c r="FA1083" s="38" t="s">
        <v>914</v>
      </c>
      <c r="FC1083" s="38">
        <v>52</v>
      </c>
    </row>
    <row r="1084" spans="1:159" s="38" customFormat="1" x14ac:dyDescent="0.25">
      <c r="A1084" s="38">
        <v>52</v>
      </c>
      <c r="B1084" s="38" t="s">
        <v>899</v>
      </c>
      <c r="C1084" s="38" t="s">
        <v>900</v>
      </c>
      <c r="D1084" s="38">
        <v>1998</v>
      </c>
      <c r="E1084" s="38">
        <v>1990</v>
      </c>
      <c r="F1084" s="38" t="s">
        <v>901</v>
      </c>
      <c r="H1084" s="38">
        <v>38.630000000000003</v>
      </c>
      <c r="I1084" s="38">
        <v>-75.459999999999994</v>
      </c>
      <c r="J1084" s="38">
        <v>10.8</v>
      </c>
      <c r="P1084" s="57" t="s">
        <v>180</v>
      </c>
      <c r="Q1084" s="57"/>
      <c r="R1084" s="57"/>
      <c r="S1084" s="57" t="s">
        <v>1647</v>
      </c>
      <c r="T1084" s="57" t="s">
        <v>1647</v>
      </c>
      <c r="X1084" s="38" t="s">
        <v>228</v>
      </c>
      <c r="AB1084" s="38" t="s">
        <v>1581</v>
      </c>
      <c r="AC1084" s="38" t="s">
        <v>166</v>
      </c>
      <c r="AD1084" s="153" t="str">
        <f t="shared" si="243"/>
        <v>Rye</v>
      </c>
      <c r="AE1084" s="38" t="s">
        <v>167</v>
      </c>
      <c r="AJ1084" s="38" t="s">
        <v>289</v>
      </c>
      <c r="AK1084" s="38" t="s">
        <v>289</v>
      </c>
      <c r="AL1084" s="38" t="s">
        <v>230</v>
      </c>
      <c r="AM1084" s="38" t="s">
        <v>904</v>
      </c>
      <c r="AN1084" s="38" t="s">
        <v>904</v>
      </c>
      <c r="AO1084" s="38" t="s">
        <v>230</v>
      </c>
      <c r="AP1084" s="38" t="s">
        <v>208</v>
      </c>
      <c r="AQ1084" s="38">
        <v>3</v>
      </c>
      <c r="AR1084" s="38">
        <v>3</v>
      </c>
      <c r="AS1084" s="38" t="s">
        <v>177</v>
      </c>
      <c r="BB1084" s="38">
        <v>7777</v>
      </c>
      <c r="BC1084" s="38">
        <v>7605</v>
      </c>
      <c r="DA1084" s="38">
        <v>28.7</v>
      </c>
      <c r="DB1084" s="38">
        <v>19.399999999999999</v>
      </c>
      <c r="DC1084" s="38" t="s">
        <v>913</v>
      </c>
      <c r="FA1084" s="38" t="s">
        <v>914</v>
      </c>
      <c r="FC1084" s="38">
        <v>52</v>
      </c>
    </row>
    <row r="1085" spans="1:159" s="38" customFormat="1" x14ac:dyDescent="0.25">
      <c r="A1085" s="38">
        <v>52</v>
      </c>
      <c r="B1085" s="38" t="s">
        <v>899</v>
      </c>
      <c r="C1085" s="38" t="s">
        <v>900</v>
      </c>
      <c r="D1085" s="38">
        <v>1998</v>
      </c>
      <c r="E1085" s="38">
        <v>1990</v>
      </c>
      <c r="F1085" s="38" t="s">
        <v>901</v>
      </c>
      <c r="H1085" s="38">
        <v>38.630000000000003</v>
      </c>
      <c r="I1085" s="38">
        <v>-75.459999999999994</v>
      </c>
      <c r="J1085" s="38">
        <v>10.8</v>
      </c>
      <c r="P1085" s="57" t="s">
        <v>180</v>
      </c>
      <c r="Q1085" s="57"/>
      <c r="R1085" s="57"/>
      <c r="S1085" s="57" t="s">
        <v>1647</v>
      </c>
      <c r="T1085" s="57" t="s">
        <v>1647</v>
      </c>
      <c r="X1085" s="38" t="s">
        <v>228</v>
      </c>
      <c r="AB1085" s="38" t="s">
        <v>1581</v>
      </c>
      <c r="AC1085" s="38" t="s">
        <v>166</v>
      </c>
      <c r="AD1085" s="153" t="str">
        <f t="shared" si="243"/>
        <v>Rye</v>
      </c>
      <c r="AE1085" s="38" t="s">
        <v>167</v>
      </c>
      <c r="AJ1085" s="38" t="s">
        <v>289</v>
      </c>
      <c r="AK1085" s="38" t="s">
        <v>289</v>
      </c>
      <c r="AL1085" s="38" t="s">
        <v>230</v>
      </c>
      <c r="AM1085" s="38" t="s">
        <v>904</v>
      </c>
      <c r="AN1085" s="38" t="s">
        <v>904</v>
      </c>
      <c r="AO1085" s="38" t="s">
        <v>230</v>
      </c>
      <c r="AP1085" s="38" t="s">
        <v>208</v>
      </c>
      <c r="AQ1085" s="38">
        <v>3</v>
      </c>
      <c r="AR1085" s="38">
        <v>3</v>
      </c>
      <c r="AS1085" s="38" t="s">
        <v>177</v>
      </c>
      <c r="DA1085" s="38">
        <v>6.2</v>
      </c>
      <c r="DB1085" s="38">
        <v>6.5</v>
      </c>
      <c r="DC1085" s="38" t="s">
        <v>913</v>
      </c>
      <c r="FA1085" s="38" t="s">
        <v>914</v>
      </c>
      <c r="FC1085" s="38">
        <v>52</v>
      </c>
    </row>
    <row r="1086" spans="1:159" s="31" customFormat="1" x14ac:dyDescent="0.25">
      <c r="A1086" s="31">
        <v>52</v>
      </c>
      <c r="B1086" s="31" t="s">
        <v>899</v>
      </c>
      <c r="C1086" s="31" t="s">
        <v>900</v>
      </c>
      <c r="D1086" s="31">
        <v>1998</v>
      </c>
      <c r="E1086" s="31">
        <v>1991</v>
      </c>
      <c r="F1086" s="31" t="s">
        <v>901</v>
      </c>
      <c r="H1086" s="31">
        <v>38.630000000000003</v>
      </c>
      <c r="I1086" s="31">
        <v>-75.459999999999994</v>
      </c>
      <c r="J1086" s="31">
        <v>10.8</v>
      </c>
      <c r="P1086" s="56" t="s">
        <v>181</v>
      </c>
      <c r="Q1086" s="56"/>
      <c r="R1086" s="56"/>
      <c r="S1086" s="56" t="s">
        <v>1647</v>
      </c>
      <c r="T1086" s="56" t="s">
        <v>1647</v>
      </c>
      <c r="X1086" s="31" t="s">
        <v>228</v>
      </c>
      <c r="AB1086" s="31" t="s">
        <v>1581</v>
      </c>
      <c r="AC1086" s="31" t="s">
        <v>166</v>
      </c>
      <c r="AD1086" s="153" t="str">
        <f t="shared" si="243"/>
        <v>Rye</v>
      </c>
      <c r="AE1086" s="31" t="s">
        <v>167</v>
      </c>
      <c r="AJ1086" s="31" t="s">
        <v>203</v>
      </c>
      <c r="AK1086" s="31" t="s">
        <v>203</v>
      </c>
      <c r="AL1086" s="31" t="s">
        <v>230</v>
      </c>
      <c r="AM1086" s="31" t="s">
        <v>902</v>
      </c>
      <c r="AN1086" s="31" t="s">
        <v>902</v>
      </c>
      <c r="AO1086" s="31" t="s">
        <v>230</v>
      </c>
      <c r="AP1086" s="31" t="s">
        <v>208</v>
      </c>
      <c r="AQ1086" s="31">
        <v>3</v>
      </c>
      <c r="AR1086" s="31">
        <v>3</v>
      </c>
      <c r="AS1086" s="31" t="s">
        <v>177</v>
      </c>
      <c r="BB1086" s="31">
        <v>8216</v>
      </c>
      <c r="BC1086" s="31">
        <v>8106</v>
      </c>
      <c r="BK1086" s="31">
        <f>(3+5)/2</f>
        <v>4</v>
      </c>
      <c r="BL1086" s="31">
        <f>(1.4+7.4)/2</f>
        <v>4.4000000000000004</v>
      </c>
      <c r="DA1086" s="31">
        <v>3.8</v>
      </c>
      <c r="DB1086" s="31">
        <v>3.7</v>
      </c>
      <c r="DC1086" s="31" t="s">
        <v>913</v>
      </c>
      <c r="FA1086" s="31" t="s">
        <v>914</v>
      </c>
      <c r="FC1086" s="31">
        <v>52</v>
      </c>
    </row>
    <row r="1087" spans="1:159" s="31" customFormat="1" x14ac:dyDescent="0.25">
      <c r="A1087" s="31">
        <v>52</v>
      </c>
      <c r="B1087" s="31" t="s">
        <v>899</v>
      </c>
      <c r="C1087" s="31" t="s">
        <v>900</v>
      </c>
      <c r="D1087" s="31">
        <v>1998</v>
      </c>
      <c r="E1087" s="31">
        <v>1991</v>
      </c>
      <c r="F1087" s="31" t="s">
        <v>901</v>
      </c>
      <c r="H1087" s="31">
        <v>38.630000000000003</v>
      </c>
      <c r="I1087" s="31">
        <v>-75.459999999999994</v>
      </c>
      <c r="J1087" s="31">
        <v>10.8</v>
      </c>
      <c r="P1087" s="56" t="s">
        <v>181</v>
      </c>
      <c r="Q1087" s="56"/>
      <c r="R1087" s="56"/>
      <c r="S1087" s="56" t="s">
        <v>1647</v>
      </c>
      <c r="T1087" s="56" t="s">
        <v>1647</v>
      </c>
      <c r="X1087" s="31" t="s">
        <v>228</v>
      </c>
      <c r="AB1087" s="31" t="s">
        <v>1581</v>
      </c>
      <c r="AC1087" s="31" t="s">
        <v>166</v>
      </c>
      <c r="AD1087" s="153" t="str">
        <f t="shared" si="243"/>
        <v>Rye</v>
      </c>
      <c r="AE1087" s="31" t="s">
        <v>167</v>
      </c>
      <c r="AJ1087" s="31" t="s">
        <v>203</v>
      </c>
      <c r="AK1087" s="31" t="s">
        <v>203</v>
      </c>
      <c r="AL1087" s="31" t="s">
        <v>230</v>
      </c>
      <c r="AM1087" s="31" t="s">
        <v>903</v>
      </c>
      <c r="AN1087" s="31" t="s">
        <v>903</v>
      </c>
      <c r="AO1087" s="31" t="s">
        <v>230</v>
      </c>
      <c r="AP1087" s="31" t="s">
        <v>208</v>
      </c>
      <c r="AQ1087" s="31">
        <v>3</v>
      </c>
      <c r="AR1087" s="31">
        <v>3</v>
      </c>
      <c r="AS1087" s="31" t="s">
        <v>177</v>
      </c>
      <c r="BB1087" s="31">
        <v>7243</v>
      </c>
      <c r="BC1087" s="31">
        <v>8467</v>
      </c>
      <c r="DA1087" s="31">
        <v>28.3</v>
      </c>
      <c r="DB1087" s="31">
        <v>25.4</v>
      </c>
      <c r="DC1087" s="31" t="s">
        <v>913</v>
      </c>
      <c r="FA1087" s="31" t="s">
        <v>914</v>
      </c>
      <c r="FC1087" s="31">
        <v>52</v>
      </c>
    </row>
    <row r="1088" spans="1:159" s="31" customFormat="1" x14ac:dyDescent="0.25">
      <c r="A1088" s="31">
        <v>52</v>
      </c>
      <c r="B1088" s="31" t="s">
        <v>899</v>
      </c>
      <c r="C1088" s="31" t="s">
        <v>900</v>
      </c>
      <c r="D1088" s="31">
        <v>1998</v>
      </c>
      <c r="E1088" s="31">
        <v>1991</v>
      </c>
      <c r="F1088" s="31" t="s">
        <v>901</v>
      </c>
      <c r="H1088" s="31">
        <v>38.630000000000003</v>
      </c>
      <c r="I1088" s="31">
        <v>-75.459999999999994</v>
      </c>
      <c r="J1088" s="31">
        <v>10.8</v>
      </c>
      <c r="P1088" s="56" t="s">
        <v>181</v>
      </c>
      <c r="Q1088" s="56"/>
      <c r="R1088" s="56"/>
      <c r="S1088" s="56" t="s">
        <v>1647</v>
      </c>
      <c r="T1088" s="56" t="s">
        <v>1647</v>
      </c>
      <c r="X1088" s="31" t="s">
        <v>228</v>
      </c>
      <c r="AB1088" s="31" t="s">
        <v>1581</v>
      </c>
      <c r="AC1088" s="31" t="s">
        <v>166</v>
      </c>
      <c r="AD1088" s="153" t="str">
        <f t="shared" si="243"/>
        <v>Rye</v>
      </c>
      <c r="AE1088" s="31" t="s">
        <v>167</v>
      </c>
      <c r="AJ1088" s="31" t="s">
        <v>203</v>
      </c>
      <c r="AK1088" s="31" t="s">
        <v>203</v>
      </c>
      <c r="AL1088" s="31" t="s">
        <v>230</v>
      </c>
      <c r="AM1088" s="31" t="s">
        <v>904</v>
      </c>
      <c r="AN1088" s="31" t="s">
        <v>904</v>
      </c>
      <c r="AO1088" s="31" t="s">
        <v>230</v>
      </c>
      <c r="AP1088" s="31" t="s">
        <v>208</v>
      </c>
      <c r="AQ1088" s="31">
        <v>3</v>
      </c>
      <c r="AR1088" s="31">
        <v>3</v>
      </c>
      <c r="AS1088" s="31" t="s">
        <v>177</v>
      </c>
      <c r="BB1088" s="31">
        <v>8060</v>
      </c>
      <c r="BC1088" s="31">
        <v>8294</v>
      </c>
      <c r="DC1088" s="31" t="s">
        <v>913</v>
      </c>
      <c r="FA1088" s="31" t="s">
        <v>914</v>
      </c>
      <c r="FC1088" s="31">
        <v>52</v>
      </c>
    </row>
    <row r="1089" spans="1:159" s="38" customFormat="1" x14ac:dyDescent="0.25">
      <c r="A1089" s="38">
        <v>52</v>
      </c>
      <c r="B1089" s="38" t="s">
        <v>899</v>
      </c>
      <c r="C1089" s="38" t="s">
        <v>900</v>
      </c>
      <c r="D1089" s="38">
        <v>1998</v>
      </c>
      <c r="E1089" s="38">
        <v>1991</v>
      </c>
      <c r="F1089" s="38" t="s">
        <v>901</v>
      </c>
      <c r="H1089" s="38">
        <v>38.630000000000003</v>
      </c>
      <c r="I1089" s="38">
        <v>-75.459999999999994</v>
      </c>
      <c r="J1089" s="38">
        <v>10.8</v>
      </c>
      <c r="P1089" s="57" t="s">
        <v>181</v>
      </c>
      <c r="Q1089" s="57"/>
      <c r="R1089" s="57"/>
      <c r="S1089" s="57" t="s">
        <v>1647</v>
      </c>
      <c r="T1089" s="57" t="s">
        <v>1647</v>
      </c>
      <c r="X1089" s="38" t="s">
        <v>228</v>
      </c>
      <c r="AB1089" s="31" t="s">
        <v>1581</v>
      </c>
      <c r="AC1089" s="38" t="s">
        <v>166</v>
      </c>
      <c r="AD1089" s="153" t="str">
        <f t="shared" si="243"/>
        <v>Rye</v>
      </c>
      <c r="AE1089" s="38" t="s">
        <v>167</v>
      </c>
      <c r="AJ1089" s="38" t="s">
        <v>289</v>
      </c>
      <c r="AK1089" s="38" t="s">
        <v>289</v>
      </c>
      <c r="AL1089" s="38" t="s">
        <v>230</v>
      </c>
      <c r="AM1089" s="38" t="s">
        <v>902</v>
      </c>
      <c r="AN1089" s="38" t="s">
        <v>902</v>
      </c>
      <c r="AO1089" s="38" t="s">
        <v>230</v>
      </c>
      <c r="AP1089" s="38" t="s">
        <v>208</v>
      </c>
      <c r="AQ1089" s="38">
        <v>3</v>
      </c>
      <c r="AR1089" s="38">
        <v>3</v>
      </c>
      <c r="AS1089" s="38" t="s">
        <v>177</v>
      </c>
      <c r="BB1089" s="38">
        <v>8060</v>
      </c>
      <c r="BC1089" s="38">
        <v>8122</v>
      </c>
      <c r="BK1089" s="38">
        <f>(2.1+8.8)/2</f>
        <v>5.45</v>
      </c>
      <c r="BL1089" s="38">
        <f>(1.1+6.8)/2</f>
        <v>3.95</v>
      </c>
      <c r="DA1089" s="38">
        <v>4.5999999999999996</v>
      </c>
      <c r="DB1089" s="38">
        <v>4.7</v>
      </c>
      <c r="DC1089" s="38" t="s">
        <v>913</v>
      </c>
      <c r="FA1089" s="38" t="s">
        <v>914</v>
      </c>
      <c r="FC1089" s="38">
        <v>52</v>
      </c>
    </row>
    <row r="1090" spans="1:159" s="38" customFormat="1" x14ac:dyDescent="0.25">
      <c r="A1090" s="38">
        <v>52</v>
      </c>
      <c r="B1090" s="38" t="s">
        <v>899</v>
      </c>
      <c r="C1090" s="38" t="s">
        <v>900</v>
      </c>
      <c r="D1090" s="38">
        <v>1998</v>
      </c>
      <c r="E1090" s="38">
        <v>1991</v>
      </c>
      <c r="F1090" s="38" t="s">
        <v>901</v>
      </c>
      <c r="H1090" s="38">
        <v>38.630000000000003</v>
      </c>
      <c r="I1090" s="38">
        <v>-75.459999999999994</v>
      </c>
      <c r="J1090" s="38">
        <v>10.8</v>
      </c>
      <c r="P1090" s="57" t="s">
        <v>181</v>
      </c>
      <c r="Q1090" s="57"/>
      <c r="R1090" s="57"/>
      <c r="S1090" s="57" t="s">
        <v>1647</v>
      </c>
      <c r="T1090" s="57" t="s">
        <v>1647</v>
      </c>
      <c r="X1090" s="38" t="s">
        <v>228</v>
      </c>
      <c r="AB1090" s="38" t="s">
        <v>1581</v>
      </c>
      <c r="AC1090" s="38" t="s">
        <v>166</v>
      </c>
      <c r="AD1090" s="153" t="str">
        <f t="shared" si="243"/>
        <v>Rye</v>
      </c>
      <c r="AE1090" s="38" t="s">
        <v>167</v>
      </c>
      <c r="AJ1090" s="38" t="s">
        <v>289</v>
      </c>
      <c r="AK1090" s="38" t="s">
        <v>289</v>
      </c>
      <c r="AL1090" s="38" t="s">
        <v>230</v>
      </c>
      <c r="AM1090" s="38" t="s">
        <v>903</v>
      </c>
      <c r="AN1090" s="38" t="s">
        <v>903</v>
      </c>
      <c r="AO1090" s="38" t="s">
        <v>230</v>
      </c>
      <c r="AP1090" s="38" t="s">
        <v>208</v>
      </c>
      <c r="AQ1090" s="38">
        <v>3</v>
      </c>
      <c r="AR1090" s="38">
        <v>3</v>
      </c>
      <c r="AS1090" s="38" t="s">
        <v>177</v>
      </c>
      <c r="BB1090" s="38">
        <v>7871</v>
      </c>
      <c r="BC1090" s="38">
        <v>8091</v>
      </c>
      <c r="DA1090" s="38">
        <v>33.1</v>
      </c>
      <c r="DB1090" s="38">
        <v>28.1</v>
      </c>
      <c r="DC1090" s="38" t="s">
        <v>913</v>
      </c>
      <c r="FA1090" s="38" t="s">
        <v>914</v>
      </c>
      <c r="FC1090" s="38">
        <v>52</v>
      </c>
    </row>
    <row r="1091" spans="1:159" s="38" customFormat="1" x14ac:dyDescent="0.25">
      <c r="A1091" s="38">
        <v>52</v>
      </c>
      <c r="B1091" s="38" t="s">
        <v>899</v>
      </c>
      <c r="C1091" s="38" t="s">
        <v>900</v>
      </c>
      <c r="D1091" s="38">
        <v>1998</v>
      </c>
      <c r="E1091" s="38">
        <v>1991</v>
      </c>
      <c r="F1091" s="38" t="s">
        <v>901</v>
      </c>
      <c r="H1091" s="38">
        <v>38.630000000000003</v>
      </c>
      <c r="I1091" s="38">
        <v>-75.459999999999994</v>
      </c>
      <c r="J1091" s="38">
        <v>10.8</v>
      </c>
      <c r="P1091" s="57" t="s">
        <v>181</v>
      </c>
      <c r="Q1091" s="57"/>
      <c r="R1091" s="57"/>
      <c r="S1091" s="57" t="s">
        <v>1647</v>
      </c>
      <c r="T1091" s="57" t="s">
        <v>1647</v>
      </c>
      <c r="X1091" s="38" t="s">
        <v>228</v>
      </c>
      <c r="AB1091" s="38" t="s">
        <v>1581</v>
      </c>
      <c r="AC1091" s="38" t="s">
        <v>166</v>
      </c>
      <c r="AD1091" s="153" t="str">
        <f t="shared" ref="AD1091:AD1154" si="244">IF(OR(AC1091="*Rye",AC1091="Rye*",AC1091="Downy_brome"),"Rye",IF(OR(AC1091="*Oat",AC1091="Oat*",AC1091="Trudan_8",AC1091="*Wheat",AC1091="Wheat*",AC1091="Barley*",AC1091="Hemp",AC1091="Hemp",AC1091="Triticale*",AC1091="Grass",AC1091="Millet"),"Grass",IF(OR(AC1091="*clover",AC1091="clover*",AC1091="Vetch*",AC1091="Vetch*",AC1091="Alfalfa",AC1091="Soybean",AC1091="*Lentil",AC1091="Lentil*",AC1091="*Pea",AC1091="Pea*",AC1091="Lupine"),"Legume",AC1091)))</f>
        <v>Rye</v>
      </c>
      <c r="AE1091" s="38" t="s">
        <v>167</v>
      </c>
      <c r="AJ1091" s="38" t="s">
        <v>289</v>
      </c>
      <c r="AK1091" s="38" t="s">
        <v>289</v>
      </c>
      <c r="AL1091" s="38" t="s">
        <v>230</v>
      </c>
      <c r="AM1091" s="38" t="s">
        <v>904</v>
      </c>
      <c r="AN1091" s="38" t="s">
        <v>904</v>
      </c>
      <c r="AO1091" s="38" t="s">
        <v>230</v>
      </c>
      <c r="AP1091" s="38" t="s">
        <v>208</v>
      </c>
      <c r="AQ1091" s="38">
        <v>3</v>
      </c>
      <c r="AR1091" s="38">
        <v>3</v>
      </c>
      <c r="AS1091" s="38" t="s">
        <v>177</v>
      </c>
      <c r="BB1091" s="38">
        <v>8201</v>
      </c>
      <c r="BC1091" s="38">
        <v>8372</v>
      </c>
      <c r="DA1091" s="99"/>
      <c r="DB1091" s="99"/>
      <c r="FA1091" s="38" t="s">
        <v>914</v>
      </c>
      <c r="FC1091" s="38">
        <v>52</v>
      </c>
    </row>
    <row r="1092" spans="1:159" s="26" customFormat="1" x14ac:dyDescent="0.25">
      <c r="A1092" s="26">
        <v>53</v>
      </c>
      <c r="B1092" s="26" t="s">
        <v>915</v>
      </c>
      <c r="C1092" s="26" t="s">
        <v>916</v>
      </c>
      <c r="D1092" s="26">
        <v>2006</v>
      </c>
      <c r="E1092" s="26">
        <v>2000</v>
      </c>
      <c r="F1092" s="26" t="s">
        <v>917</v>
      </c>
      <c r="G1092" s="26" t="s">
        <v>918</v>
      </c>
      <c r="H1092" s="26">
        <v>33.950000000000003</v>
      </c>
      <c r="I1092" s="26">
        <v>-83.38</v>
      </c>
      <c r="J1092" s="26">
        <v>208.4</v>
      </c>
      <c r="M1092" s="26">
        <f>278+505</f>
        <v>783</v>
      </c>
      <c r="N1092" s="26">
        <f>588+645</f>
        <v>1233</v>
      </c>
      <c r="P1092" s="52" t="s">
        <v>179</v>
      </c>
      <c r="Q1092" s="52"/>
      <c r="R1092" s="52"/>
      <c r="S1092" s="52" t="s">
        <v>1654</v>
      </c>
      <c r="T1092" s="52" t="s">
        <v>1654</v>
      </c>
      <c r="V1092" s="26">
        <f t="shared" ref="V1092:V1123" si="245">650/1000*100</f>
        <v>65</v>
      </c>
      <c r="W1092" s="26">
        <f>25</f>
        <v>25</v>
      </c>
      <c r="X1092" s="26" t="s">
        <v>298</v>
      </c>
      <c r="Y1092" s="26">
        <v>6.6</v>
      </c>
      <c r="Z1092" s="26">
        <v>0.88</v>
      </c>
      <c r="AB1092" s="26" t="s">
        <v>1582</v>
      </c>
      <c r="AC1092" s="26" t="s">
        <v>166</v>
      </c>
      <c r="AD1092" s="153" t="str">
        <f t="shared" si="244"/>
        <v>Rye</v>
      </c>
      <c r="AE1092" s="26" t="s">
        <v>709</v>
      </c>
      <c r="AG1092" s="26" t="s">
        <v>926</v>
      </c>
      <c r="AH1092" s="26" t="s">
        <v>926</v>
      </c>
      <c r="AI1092" s="26" t="s">
        <v>230</v>
      </c>
      <c r="AJ1092" s="26" t="s">
        <v>203</v>
      </c>
      <c r="AK1092" s="26" t="s">
        <v>203</v>
      </c>
      <c r="AL1092" s="26" t="s">
        <v>230</v>
      </c>
      <c r="AM1092" s="26" t="s">
        <v>407</v>
      </c>
      <c r="AN1092" s="26" t="s">
        <v>407</v>
      </c>
      <c r="AO1092" s="26" t="s">
        <v>230</v>
      </c>
      <c r="AP1092" s="26" t="s">
        <v>154</v>
      </c>
      <c r="AQ1092" s="26">
        <v>3</v>
      </c>
      <c r="AR1092" s="26">
        <v>3</v>
      </c>
      <c r="AS1092" s="26" t="s">
        <v>404</v>
      </c>
      <c r="AU1092" s="26">
        <f>6.07*1000</f>
        <v>6070</v>
      </c>
      <c r="AV1092" s="26">
        <v>29</v>
      </c>
      <c r="AY1092" s="26">
        <v>5200</v>
      </c>
      <c r="AZ1092" s="26">
        <v>6300</v>
      </c>
      <c r="BA1092" s="26" t="s">
        <v>1015</v>
      </c>
      <c r="BB1092" s="26">
        <v>814</v>
      </c>
      <c r="BC1092" s="26">
        <v>1107</v>
      </c>
      <c r="BK1092" s="26">
        <f>55.8*0.28</f>
        <v>15.624000000000001</v>
      </c>
      <c r="BL1092" s="26">
        <f>47.8*0.28</f>
        <v>13.384</v>
      </c>
      <c r="BM1092" s="26" t="s">
        <v>574</v>
      </c>
      <c r="DA1092" s="26">
        <v>11</v>
      </c>
      <c r="DB1092" s="26">
        <v>20</v>
      </c>
      <c r="DC1092" s="26" t="s">
        <v>923</v>
      </c>
      <c r="FA1092" s="26" t="s">
        <v>927</v>
      </c>
      <c r="FC1092" s="26">
        <v>53</v>
      </c>
    </row>
    <row r="1093" spans="1:159" s="26" customFormat="1" x14ac:dyDescent="0.25">
      <c r="A1093" s="26">
        <v>53</v>
      </c>
      <c r="B1093" s="26" t="s">
        <v>915</v>
      </c>
      <c r="C1093" s="26" t="s">
        <v>916</v>
      </c>
      <c r="D1093" s="26">
        <v>2006</v>
      </c>
      <c r="E1093" s="26">
        <v>2000</v>
      </c>
      <c r="F1093" s="26" t="s">
        <v>917</v>
      </c>
      <c r="G1093" s="26" t="s">
        <v>918</v>
      </c>
      <c r="H1093" s="26">
        <v>33.950000000000003</v>
      </c>
      <c r="I1093" s="26">
        <v>-83.38</v>
      </c>
      <c r="J1093" s="26">
        <v>208.4</v>
      </c>
      <c r="M1093" s="26">
        <f t="shared" ref="M1093:M1106" si="246">278+505</f>
        <v>783</v>
      </c>
      <c r="N1093" s="26">
        <f t="shared" ref="N1093:N1156" si="247">588+645</f>
        <v>1233</v>
      </c>
      <c r="P1093" s="52" t="s">
        <v>179</v>
      </c>
      <c r="Q1093" s="52"/>
      <c r="R1093" s="52"/>
      <c r="S1093" s="52" t="s">
        <v>1654</v>
      </c>
      <c r="T1093" s="52" t="s">
        <v>1654</v>
      </c>
      <c r="V1093" s="26">
        <f t="shared" si="245"/>
        <v>65</v>
      </c>
      <c r="W1093" s="26">
        <f>25</f>
        <v>25</v>
      </c>
      <c r="X1093" s="26" t="s">
        <v>298</v>
      </c>
      <c r="Y1093" s="26">
        <v>6.6</v>
      </c>
      <c r="Z1093" s="26">
        <v>0.88</v>
      </c>
      <c r="AB1093" s="26" t="s">
        <v>1582</v>
      </c>
      <c r="AC1093" s="26" t="s">
        <v>166</v>
      </c>
      <c r="AD1093" s="153" t="str">
        <f t="shared" si="244"/>
        <v>Rye</v>
      </c>
      <c r="AE1093" s="26" t="s">
        <v>709</v>
      </c>
      <c r="AG1093" s="26" t="s">
        <v>926</v>
      </c>
      <c r="AH1093" s="26" t="s">
        <v>926</v>
      </c>
      <c r="AI1093" s="26" t="s">
        <v>230</v>
      </c>
      <c r="AJ1093" s="26" t="s">
        <v>919</v>
      </c>
      <c r="AK1093" s="26" t="s">
        <v>919</v>
      </c>
      <c r="AL1093" s="26" t="s">
        <v>230</v>
      </c>
      <c r="AM1093" s="26" t="s">
        <v>407</v>
      </c>
      <c r="AN1093" s="26" t="s">
        <v>407</v>
      </c>
      <c r="AO1093" s="26" t="s">
        <v>230</v>
      </c>
      <c r="AP1093" s="26" t="s">
        <v>154</v>
      </c>
      <c r="AQ1093" s="26">
        <v>3</v>
      </c>
      <c r="AR1093" s="26">
        <v>3</v>
      </c>
      <c r="AS1093" s="26" t="s">
        <v>404</v>
      </c>
      <c r="AU1093" s="26">
        <f t="shared" ref="AU1093:AU1094" si="248">6.07*1000</f>
        <v>6070</v>
      </c>
      <c r="AV1093" s="26">
        <v>29</v>
      </c>
      <c r="BB1093" s="26">
        <v>480</v>
      </c>
      <c r="BC1093" s="26">
        <v>674</v>
      </c>
      <c r="BK1093" s="26">
        <f>50.5*0.28</f>
        <v>14.14</v>
      </c>
      <c r="BL1093" s="26">
        <f>57*0.28</f>
        <v>15.96</v>
      </c>
      <c r="BM1093" s="26" t="s">
        <v>574</v>
      </c>
      <c r="DA1093" s="26">
        <v>8</v>
      </c>
      <c r="DB1093" s="26">
        <v>11</v>
      </c>
      <c r="DC1093" s="26" t="s">
        <v>923</v>
      </c>
      <c r="FA1093" s="26" t="s">
        <v>927</v>
      </c>
      <c r="FC1093" s="26">
        <v>53</v>
      </c>
    </row>
    <row r="1094" spans="1:159" s="26" customFormat="1" x14ac:dyDescent="0.25">
      <c r="A1094" s="26">
        <v>53</v>
      </c>
      <c r="B1094" s="26" t="s">
        <v>915</v>
      </c>
      <c r="C1094" s="26" t="s">
        <v>916</v>
      </c>
      <c r="D1094" s="26">
        <v>2006</v>
      </c>
      <c r="E1094" s="26">
        <v>2000</v>
      </c>
      <c r="F1094" s="26" t="s">
        <v>917</v>
      </c>
      <c r="G1094" s="26" t="s">
        <v>918</v>
      </c>
      <c r="H1094" s="26">
        <v>33.950000000000003</v>
      </c>
      <c r="I1094" s="26">
        <v>-83.38</v>
      </c>
      <c r="J1094" s="26">
        <v>208.4</v>
      </c>
      <c r="M1094" s="26">
        <f t="shared" si="246"/>
        <v>783</v>
      </c>
      <c r="N1094" s="26">
        <f t="shared" si="247"/>
        <v>1233</v>
      </c>
      <c r="P1094" s="52" t="s">
        <v>179</v>
      </c>
      <c r="Q1094" s="52"/>
      <c r="R1094" s="52"/>
      <c r="S1094" s="52" t="s">
        <v>1654</v>
      </c>
      <c r="T1094" s="52" t="s">
        <v>1654</v>
      </c>
      <c r="V1094" s="26">
        <f t="shared" si="245"/>
        <v>65</v>
      </c>
      <c r="W1094" s="26">
        <f>25</f>
        <v>25</v>
      </c>
      <c r="X1094" s="26" t="s">
        <v>298</v>
      </c>
      <c r="Y1094" s="26">
        <v>6.6</v>
      </c>
      <c r="Z1094" s="26">
        <v>0.88</v>
      </c>
      <c r="AB1094" s="26" t="s">
        <v>1582</v>
      </c>
      <c r="AC1094" s="26" t="s">
        <v>166</v>
      </c>
      <c r="AD1094" s="153" t="str">
        <f t="shared" si="244"/>
        <v>Rye</v>
      </c>
      <c r="AE1094" s="26" t="s">
        <v>709</v>
      </c>
      <c r="AG1094" s="26" t="s">
        <v>926</v>
      </c>
      <c r="AH1094" s="26" t="s">
        <v>926</v>
      </c>
      <c r="AI1094" s="26" t="s">
        <v>230</v>
      </c>
      <c r="AJ1094" s="26" t="s">
        <v>920</v>
      </c>
      <c r="AK1094" s="26" t="s">
        <v>920</v>
      </c>
      <c r="AL1094" s="26" t="s">
        <v>230</v>
      </c>
      <c r="AM1094" s="26" t="s">
        <v>407</v>
      </c>
      <c r="AN1094" s="26" t="s">
        <v>407</v>
      </c>
      <c r="AO1094" s="26" t="s">
        <v>230</v>
      </c>
      <c r="AP1094" s="26" t="s">
        <v>154</v>
      </c>
      <c r="AQ1094" s="26">
        <v>3</v>
      </c>
      <c r="AR1094" s="26">
        <v>3</v>
      </c>
      <c r="AS1094" s="26" t="s">
        <v>404</v>
      </c>
      <c r="AU1094" s="26">
        <f t="shared" si="248"/>
        <v>6070</v>
      </c>
      <c r="AV1094" s="26">
        <v>29</v>
      </c>
      <c r="BB1094" s="26">
        <v>802</v>
      </c>
      <c r="BC1094" s="26">
        <v>857</v>
      </c>
      <c r="BK1094" s="26">
        <f>51.2*0.28</f>
        <v>14.336000000000002</v>
      </c>
      <c r="BL1094" s="26">
        <f>54.8*0.28</f>
        <v>15.344000000000001</v>
      </c>
      <c r="BM1094" s="26" t="s">
        <v>574</v>
      </c>
      <c r="DA1094" s="26">
        <v>14</v>
      </c>
      <c r="DB1094" s="26">
        <v>14</v>
      </c>
      <c r="DC1094" s="26" t="s">
        <v>923</v>
      </c>
      <c r="FA1094" s="26" t="s">
        <v>927</v>
      </c>
      <c r="FC1094" s="26">
        <v>53</v>
      </c>
    </row>
    <row r="1095" spans="1:159" s="85" customFormat="1" x14ac:dyDescent="0.25">
      <c r="A1095" s="85">
        <v>53</v>
      </c>
      <c r="B1095" s="85" t="s">
        <v>915</v>
      </c>
      <c r="C1095" s="85" t="s">
        <v>916</v>
      </c>
      <c r="D1095" s="85">
        <v>2006</v>
      </c>
      <c r="E1095" s="85">
        <v>2000</v>
      </c>
      <c r="F1095" s="85" t="s">
        <v>917</v>
      </c>
      <c r="G1095" s="85" t="s">
        <v>918</v>
      </c>
      <c r="H1095" s="85">
        <v>33.950000000000003</v>
      </c>
      <c r="I1095" s="85">
        <v>-83.38</v>
      </c>
      <c r="J1095" s="85">
        <v>208.4</v>
      </c>
      <c r="M1095" s="26">
        <f t="shared" si="246"/>
        <v>783</v>
      </c>
      <c r="N1095" s="26">
        <f t="shared" si="247"/>
        <v>1233</v>
      </c>
      <c r="P1095" s="86" t="s">
        <v>179</v>
      </c>
      <c r="Q1095" s="86"/>
      <c r="R1095" s="86"/>
      <c r="S1095" s="86" t="s">
        <v>1654</v>
      </c>
      <c r="T1095" s="86" t="s">
        <v>1654</v>
      </c>
      <c r="V1095" s="85">
        <f t="shared" si="245"/>
        <v>65</v>
      </c>
      <c r="W1095" s="85">
        <f>25</f>
        <v>25</v>
      </c>
      <c r="X1095" s="85" t="s">
        <v>298</v>
      </c>
      <c r="Y1095" s="85">
        <v>6.6</v>
      </c>
      <c r="Z1095" s="85">
        <v>0.88</v>
      </c>
      <c r="AB1095" s="26" t="s">
        <v>1582</v>
      </c>
      <c r="AC1095" s="85" t="s">
        <v>301</v>
      </c>
      <c r="AD1095" s="153" t="str">
        <f t="shared" si="244"/>
        <v>Vetch</v>
      </c>
      <c r="AE1095" s="85" t="s">
        <v>709</v>
      </c>
      <c r="AG1095" s="26" t="s">
        <v>926</v>
      </c>
      <c r="AH1095" s="26" t="s">
        <v>926</v>
      </c>
      <c r="AI1095" s="26" t="s">
        <v>230</v>
      </c>
      <c r="AJ1095" s="85" t="s">
        <v>203</v>
      </c>
      <c r="AK1095" s="85" t="s">
        <v>203</v>
      </c>
      <c r="AL1095" s="85" t="s">
        <v>230</v>
      </c>
      <c r="AM1095" s="85" t="s">
        <v>407</v>
      </c>
      <c r="AN1095" s="85" t="s">
        <v>407</v>
      </c>
      <c r="AO1095" s="85" t="s">
        <v>230</v>
      </c>
      <c r="AP1095" s="85" t="s">
        <v>154</v>
      </c>
      <c r="AQ1095" s="85">
        <v>3</v>
      </c>
      <c r="AR1095" s="85">
        <v>3</v>
      </c>
      <c r="AS1095" s="85" t="s">
        <v>404</v>
      </c>
      <c r="AU1095" s="85">
        <f>5.1*1000</f>
        <v>5100</v>
      </c>
      <c r="AV1095" s="85">
        <v>12</v>
      </c>
      <c r="AY1095" s="85">
        <v>5200</v>
      </c>
      <c r="AZ1095" s="85">
        <v>8200</v>
      </c>
      <c r="BA1095" s="85" t="s">
        <v>1015</v>
      </c>
      <c r="BB1095" s="85">
        <v>814</v>
      </c>
      <c r="BC1095" s="85">
        <v>661</v>
      </c>
      <c r="BK1095" s="85">
        <v>15.624000000000001</v>
      </c>
      <c r="BL1095" s="85">
        <f>61*0.28</f>
        <v>17.080000000000002</v>
      </c>
      <c r="BM1095" s="26" t="s">
        <v>574</v>
      </c>
      <c r="DA1095" s="26">
        <v>11</v>
      </c>
      <c r="DB1095" s="85">
        <v>11</v>
      </c>
      <c r="DC1095" s="26" t="s">
        <v>923</v>
      </c>
      <c r="FA1095" s="26" t="s">
        <v>927</v>
      </c>
      <c r="FC1095" s="85">
        <v>53</v>
      </c>
    </row>
    <row r="1096" spans="1:159" s="85" customFormat="1" x14ac:dyDescent="0.25">
      <c r="A1096" s="85">
        <v>53</v>
      </c>
      <c r="B1096" s="85" t="s">
        <v>915</v>
      </c>
      <c r="C1096" s="85" t="s">
        <v>916</v>
      </c>
      <c r="D1096" s="85">
        <v>2006</v>
      </c>
      <c r="E1096" s="85">
        <v>2000</v>
      </c>
      <c r="F1096" s="85" t="s">
        <v>917</v>
      </c>
      <c r="G1096" s="85" t="s">
        <v>918</v>
      </c>
      <c r="H1096" s="85">
        <v>33.950000000000003</v>
      </c>
      <c r="I1096" s="85">
        <v>-83.38</v>
      </c>
      <c r="J1096" s="85">
        <v>208.4</v>
      </c>
      <c r="M1096" s="26">
        <f t="shared" si="246"/>
        <v>783</v>
      </c>
      <c r="N1096" s="26">
        <f t="shared" si="247"/>
        <v>1233</v>
      </c>
      <c r="P1096" s="86" t="s">
        <v>179</v>
      </c>
      <c r="Q1096" s="86"/>
      <c r="R1096" s="86"/>
      <c r="S1096" s="86" t="s">
        <v>1654</v>
      </c>
      <c r="T1096" s="86" t="s">
        <v>1654</v>
      </c>
      <c r="V1096" s="85">
        <f t="shared" si="245"/>
        <v>65</v>
      </c>
      <c r="W1096" s="85">
        <f>25</f>
        <v>25</v>
      </c>
      <c r="X1096" s="85" t="s">
        <v>298</v>
      </c>
      <c r="Y1096" s="85">
        <v>6.6</v>
      </c>
      <c r="Z1096" s="85">
        <v>0.88</v>
      </c>
      <c r="AB1096" s="26" t="s">
        <v>1582</v>
      </c>
      <c r="AC1096" s="85" t="s">
        <v>301</v>
      </c>
      <c r="AD1096" s="153" t="str">
        <f t="shared" si="244"/>
        <v>Vetch</v>
      </c>
      <c r="AE1096" s="85" t="s">
        <v>709</v>
      </c>
      <c r="AG1096" s="26" t="s">
        <v>926</v>
      </c>
      <c r="AH1096" s="26" t="s">
        <v>926</v>
      </c>
      <c r="AI1096" s="26" t="s">
        <v>230</v>
      </c>
      <c r="AJ1096" s="85" t="s">
        <v>919</v>
      </c>
      <c r="AK1096" s="85" t="s">
        <v>919</v>
      </c>
      <c r="AL1096" s="85" t="s">
        <v>230</v>
      </c>
      <c r="AM1096" s="85" t="s">
        <v>407</v>
      </c>
      <c r="AN1096" s="85" t="s">
        <v>407</v>
      </c>
      <c r="AO1096" s="85" t="s">
        <v>230</v>
      </c>
      <c r="AP1096" s="85" t="s">
        <v>154</v>
      </c>
      <c r="AQ1096" s="85">
        <v>3</v>
      </c>
      <c r="AR1096" s="85">
        <v>3</v>
      </c>
      <c r="AS1096" s="85" t="s">
        <v>404</v>
      </c>
      <c r="AU1096" s="85">
        <f t="shared" ref="AU1096:AU1097" si="249">5.1*1000</f>
        <v>5100</v>
      </c>
      <c r="AV1096" s="85">
        <v>12</v>
      </c>
      <c r="BB1096" s="85">
        <v>480</v>
      </c>
      <c r="BC1096" s="85">
        <v>664</v>
      </c>
      <c r="BK1096" s="85">
        <v>14.14</v>
      </c>
      <c r="BL1096" s="85">
        <f>61.8*0.28</f>
        <v>17.304000000000002</v>
      </c>
      <c r="BM1096" s="26" t="s">
        <v>574</v>
      </c>
      <c r="DA1096" s="26">
        <v>8</v>
      </c>
      <c r="DB1096" s="85">
        <v>11</v>
      </c>
      <c r="DC1096" s="26" t="s">
        <v>923</v>
      </c>
      <c r="FA1096" s="26" t="s">
        <v>927</v>
      </c>
      <c r="FC1096" s="85">
        <v>53</v>
      </c>
    </row>
    <row r="1097" spans="1:159" s="85" customFormat="1" x14ac:dyDescent="0.25">
      <c r="A1097" s="85">
        <v>53</v>
      </c>
      <c r="B1097" s="85" t="s">
        <v>915</v>
      </c>
      <c r="C1097" s="85" t="s">
        <v>916</v>
      </c>
      <c r="D1097" s="85">
        <v>2006</v>
      </c>
      <c r="E1097" s="85">
        <v>2000</v>
      </c>
      <c r="F1097" s="85" t="s">
        <v>917</v>
      </c>
      <c r="G1097" s="85" t="s">
        <v>918</v>
      </c>
      <c r="H1097" s="85">
        <v>33.950000000000003</v>
      </c>
      <c r="I1097" s="85">
        <v>-83.38</v>
      </c>
      <c r="J1097" s="85">
        <v>208.4</v>
      </c>
      <c r="M1097" s="26">
        <f t="shared" si="246"/>
        <v>783</v>
      </c>
      <c r="N1097" s="26">
        <f t="shared" si="247"/>
        <v>1233</v>
      </c>
      <c r="P1097" s="86" t="s">
        <v>179</v>
      </c>
      <c r="Q1097" s="86"/>
      <c r="R1097" s="86"/>
      <c r="S1097" s="86" t="s">
        <v>1654</v>
      </c>
      <c r="T1097" s="86" t="s">
        <v>1654</v>
      </c>
      <c r="V1097" s="85">
        <f t="shared" si="245"/>
        <v>65</v>
      </c>
      <c r="W1097" s="85">
        <f>25</f>
        <v>25</v>
      </c>
      <c r="X1097" s="85" t="s">
        <v>298</v>
      </c>
      <c r="Y1097" s="85">
        <v>6.6</v>
      </c>
      <c r="Z1097" s="85">
        <v>0.88</v>
      </c>
      <c r="AB1097" s="26" t="s">
        <v>1582</v>
      </c>
      <c r="AC1097" s="85" t="s">
        <v>301</v>
      </c>
      <c r="AD1097" s="153" t="str">
        <f t="shared" si="244"/>
        <v>Vetch</v>
      </c>
      <c r="AE1097" s="85" t="s">
        <v>709</v>
      </c>
      <c r="AG1097" s="26" t="s">
        <v>926</v>
      </c>
      <c r="AH1097" s="26" t="s">
        <v>926</v>
      </c>
      <c r="AI1097" s="26" t="s">
        <v>230</v>
      </c>
      <c r="AJ1097" s="85" t="s">
        <v>920</v>
      </c>
      <c r="AK1097" s="85" t="s">
        <v>920</v>
      </c>
      <c r="AL1097" s="85" t="s">
        <v>230</v>
      </c>
      <c r="AM1097" s="85" t="s">
        <v>407</v>
      </c>
      <c r="AN1097" s="85" t="s">
        <v>407</v>
      </c>
      <c r="AO1097" s="85" t="s">
        <v>230</v>
      </c>
      <c r="AP1097" s="85" t="s">
        <v>154</v>
      </c>
      <c r="AQ1097" s="85">
        <v>3</v>
      </c>
      <c r="AR1097" s="85">
        <v>3</v>
      </c>
      <c r="AS1097" s="85" t="s">
        <v>404</v>
      </c>
      <c r="AU1097" s="85">
        <f t="shared" si="249"/>
        <v>5100</v>
      </c>
      <c r="AV1097" s="85">
        <v>12</v>
      </c>
      <c r="BB1097" s="85">
        <v>802</v>
      </c>
      <c r="BC1097" s="85">
        <v>657</v>
      </c>
      <c r="BK1097" s="85">
        <v>14.336000000000002</v>
      </c>
      <c r="BL1097" s="85">
        <f>62.9*0.28</f>
        <v>17.612000000000002</v>
      </c>
      <c r="BM1097" s="26" t="s">
        <v>574</v>
      </c>
      <c r="DA1097" s="26">
        <v>14</v>
      </c>
      <c r="DB1097" s="85">
        <v>11</v>
      </c>
      <c r="DC1097" s="26" t="s">
        <v>923</v>
      </c>
      <c r="FA1097" s="26" t="s">
        <v>927</v>
      </c>
      <c r="FC1097" s="85">
        <v>53</v>
      </c>
    </row>
    <row r="1098" spans="1:159" s="26" customFormat="1" x14ac:dyDescent="0.25">
      <c r="A1098" s="26">
        <v>53</v>
      </c>
      <c r="B1098" s="26" t="s">
        <v>915</v>
      </c>
      <c r="C1098" s="26" t="s">
        <v>916</v>
      </c>
      <c r="D1098" s="26">
        <v>2006</v>
      </c>
      <c r="E1098" s="26">
        <v>2000</v>
      </c>
      <c r="F1098" s="26" t="s">
        <v>917</v>
      </c>
      <c r="G1098" s="26" t="s">
        <v>918</v>
      </c>
      <c r="H1098" s="26">
        <v>33.950000000000003</v>
      </c>
      <c r="I1098" s="26">
        <v>-83.38</v>
      </c>
      <c r="J1098" s="26">
        <v>208.4</v>
      </c>
      <c r="M1098" s="26">
        <f t="shared" si="246"/>
        <v>783</v>
      </c>
      <c r="N1098" s="26">
        <f t="shared" si="247"/>
        <v>1233</v>
      </c>
      <c r="P1098" s="52" t="s">
        <v>179</v>
      </c>
      <c r="Q1098" s="52"/>
      <c r="R1098" s="52"/>
      <c r="S1098" s="52" t="s">
        <v>1654</v>
      </c>
      <c r="T1098" s="52" t="s">
        <v>1654</v>
      </c>
      <c r="V1098" s="26">
        <f t="shared" si="245"/>
        <v>65</v>
      </c>
      <c r="W1098" s="26">
        <f>25</f>
        <v>25</v>
      </c>
      <c r="X1098" s="26" t="s">
        <v>298</v>
      </c>
      <c r="Y1098" s="26">
        <v>6.6</v>
      </c>
      <c r="Z1098" s="26">
        <v>0.88</v>
      </c>
      <c r="AB1098" s="26" t="s">
        <v>1582</v>
      </c>
      <c r="AC1098" s="26" t="s">
        <v>1802</v>
      </c>
      <c r="AD1098" s="153" t="str">
        <f t="shared" si="244"/>
        <v>Rye/Vetch</v>
      </c>
      <c r="AE1098" s="26" t="s">
        <v>709</v>
      </c>
      <c r="AG1098" s="26" t="s">
        <v>926</v>
      </c>
      <c r="AH1098" s="26" t="s">
        <v>926</v>
      </c>
      <c r="AI1098" s="26" t="s">
        <v>230</v>
      </c>
      <c r="AJ1098" s="26" t="s">
        <v>203</v>
      </c>
      <c r="AK1098" s="26" t="s">
        <v>203</v>
      </c>
      <c r="AL1098" s="26" t="s">
        <v>230</v>
      </c>
      <c r="AM1098" s="26" t="s">
        <v>407</v>
      </c>
      <c r="AN1098" s="26" t="s">
        <v>407</v>
      </c>
      <c r="AO1098" s="26" t="s">
        <v>230</v>
      </c>
      <c r="AP1098" s="26" t="s">
        <v>154</v>
      </c>
      <c r="AQ1098" s="26">
        <v>3</v>
      </c>
      <c r="AR1098" s="26">
        <v>3</v>
      </c>
      <c r="AS1098" s="26" t="s">
        <v>404</v>
      </c>
      <c r="AU1098" s="26">
        <f>8.18*1000</f>
        <v>8180</v>
      </c>
      <c r="AV1098" s="26">
        <v>10</v>
      </c>
      <c r="AY1098" s="26">
        <v>5200</v>
      </c>
      <c r="AZ1098" s="26">
        <v>7300</v>
      </c>
      <c r="BA1098" s="26" t="s">
        <v>1015</v>
      </c>
      <c r="BB1098" s="26">
        <v>814</v>
      </c>
      <c r="BC1098" s="26">
        <v>837</v>
      </c>
      <c r="BK1098" s="26">
        <f>55.8*0.28</f>
        <v>15.624000000000001</v>
      </c>
      <c r="BL1098" s="26">
        <f>53.7*0.28</f>
        <v>15.036000000000001</v>
      </c>
      <c r="BM1098" s="26" t="s">
        <v>574</v>
      </c>
      <c r="DA1098" s="26">
        <v>11</v>
      </c>
      <c r="DB1098" s="26">
        <v>17</v>
      </c>
      <c r="DC1098" s="26" t="s">
        <v>923</v>
      </c>
      <c r="FA1098" s="26" t="s">
        <v>927</v>
      </c>
      <c r="FC1098" s="26">
        <v>53</v>
      </c>
    </row>
    <row r="1099" spans="1:159" s="26" customFormat="1" x14ac:dyDescent="0.25">
      <c r="A1099" s="26">
        <v>53</v>
      </c>
      <c r="B1099" s="26" t="s">
        <v>915</v>
      </c>
      <c r="C1099" s="26" t="s">
        <v>916</v>
      </c>
      <c r="D1099" s="26">
        <v>2006</v>
      </c>
      <c r="E1099" s="26">
        <v>2000</v>
      </c>
      <c r="F1099" s="26" t="s">
        <v>917</v>
      </c>
      <c r="G1099" s="26" t="s">
        <v>918</v>
      </c>
      <c r="H1099" s="26">
        <v>33.950000000000003</v>
      </c>
      <c r="I1099" s="26">
        <v>-83.38</v>
      </c>
      <c r="J1099" s="26">
        <v>208.4</v>
      </c>
      <c r="M1099" s="26">
        <f t="shared" si="246"/>
        <v>783</v>
      </c>
      <c r="N1099" s="26">
        <f t="shared" si="247"/>
        <v>1233</v>
      </c>
      <c r="P1099" s="52" t="s">
        <v>179</v>
      </c>
      <c r="Q1099" s="52"/>
      <c r="R1099" s="52"/>
      <c r="S1099" s="52" t="s">
        <v>1654</v>
      </c>
      <c r="T1099" s="52" t="s">
        <v>1654</v>
      </c>
      <c r="V1099" s="26">
        <f t="shared" si="245"/>
        <v>65</v>
      </c>
      <c r="W1099" s="26">
        <f>25</f>
        <v>25</v>
      </c>
      <c r="X1099" s="26" t="s">
        <v>298</v>
      </c>
      <c r="Y1099" s="26">
        <v>6.6</v>
      </c>
      <c r="Z1099" s="26">
        <v>0.88</v>
      </c>
      <c r="AB1099" s="26" t="s">
        <v>1582</v>
      </c>
      <c r="AC1099" s="26" t="s">
        <v>1802</v>
      </c>
      <c r="AD1099" s="153" t="str">
        <f t="shared" si="244"/>
        <v>Rye/Vetch</v>
      </c>
      <c r="AE1099" s="26" t="s">
        <v>709</v>
      </c>
      <c r="AG1099" s="26" t="s">
        <v>926</v>
      </c>
      <c r="AH1099" s="26" t="s">
        <v>926</v>
      </c>
      <c r="AI1099" s="26" t="s">
        <v>230</v>
      </c>
      <c r="AJ1099" s="26" t="s">
        <v>919</v>
      </c>
      <c r="AK1099" s="26" t="s">
        <v>919</v>
      </c>
      <c r="AL1099" s="26" t="s">
        <v>230</v>
      </c>
      <c r="AM1099" s="26" t="s">
        <v>407</v>
      </c>
      <c r="AN1099" s="26" t="s">
        <v>407</v>
      </c>
      <c r="AO1099" s="26" t="s">
        <v>230</v>
      </c>
      <c r="AP1099" s="26" t="s">
        <v>154</v>
      </c>
      <c r="AQ1099" s="26">
        <v>3</v>
      </c>
      <c r="AR1099" s="26">
        <v>3</v>
      </c>
      <c r="AS1099" s="26" t="s">
        <v>404</v>
      </c>
      <c r="AU1099" s="26">
        <f t="shared" ref="AU1099:AU1106" si="250">8.18*1000</f>
        <v>8180</v>
      </c>
      <c r="AV1099" s="26">
        <v>10</v>
      </c>
      <c r="BB1099" s="26">
        <v>480</v>
      </c>
      <c r="BC1099" s="26">
        <v>516</v>
      </c>
      <c r="BK1099" s="26">
        <f>50.5*0.28</f>
        <v>14.14</v>
      </c>
      <c r="BL1099" s="26">
        <f>60.8*0.28</f>
        <v>17.024000000000001</v>
      </c>
      <c r="BM1099" s="26" t="s">
        <v>574</v>
      </c>
      <c r="DA1099" s="26">
        <v>8</v>
      </c>
      <c r="DB1099" s="26">
        <v>9</v>
      </c>
      <c r="DC1099" s="26" t="s">
        <v>923</v>
      </c>
      <c r="FA1099" s="26" t="s">
        <v>927</v>
      </c>
      <c r="FC1099" s="26">
        <v>53</v>
      </c>
    </row>
    <row r="1100" spans="1:159" s="26" customFormat="1" x14ac:dyDescent="0.25">
      <c r="A1100" s="26">
        <v>53</v>
      </c>
      <c r="B1100" s="26" t="s">
        <v>915</v>
      </c>
      <c r="C1100" s="26" t="s">
        <v>916</v>
      </c>
      <c r="D1100" s="26">
        <v>2006</v>
      </c>
      <c r="E1100" s="26">
        <v>2000</v>
      </c>
      <c r="F1100" s="26" t="s">
        <v>917</v>
      </c>
      <c r="G1100" s="26" t="s">
        <v>918</v>
      </c>
      <c r="H1100" s="26">
        <v>33.950000000000003</v>
      </c>
      <c r="I1100" s="26">
        <v>-83.38</v>
      </c>
      <c r="J1100" s="26">
        <v>208.4</v>
      </c>
      <c r="M1100" s="26">
        <f t="shared" si="246"/>
        <v>783</v>
      </c>
      <c r="N1100" s="26">
        <f t="shared" si="247"/>
        <v>1233</v>
      </c>
      <c r="P1100" s="52" t="s">
        <v>179</v>
      </c>
      <c r="Q1100" s="52"/>
      <c r="R1100" s="52"/>
      <c r="S1100" s="52" t="s">
        <v>1654</v>
      </c>
      <c r="T1100" s="52" t="s">
        <v>1654</v>
      </c>
      <c r="V1100" s="26">
        <f t="shared" si="245"/>
        <v>65</v>
      </c>
      <c r="W1100" s="26">
        <f>25</f>
        <v>25</v>
      </c>
      <c r="X1100" s="26" t="s">
        <v>298</v>
      </c>
      <c r="Y1100" s="26">
        <v>6.6</v>
      </c>
      <c r="Z1100" s="26">
        <v>0.88</v>
      </c>
      <c r="AB1100" s="26" t="s">
        <v>1582</v>
      </c>
      <c r="AC1100" s="26" t="s">
        <v>1802</v>
      </c>
      <c r="AD1100" s="153" t="str">
        <f t="shared" si="244"/>
        <v>Rye/Vetch</v>
      </c>
      <c r="AE1100" s="26" t="s">
        <v>709</v>
      </c>
      <c r="AG1100" s="26" t="s">
        <v>926</v>
      </c>
      <c r="AH1100" s="26" t="s">
        <v>926</v>
      </c>
      <c r="AI1100" s="26" t="s">
        <v>230</v>
      </c>
      <c r="AJ1100" s="26" t="s">
        <v>920</v>
      </c>
      <c r="AK1100" s="26" t="s">
        <v>920</v>
      </c>
      <c r="AL1100" s="26" t="s">
        <v>230</v>
      </c>
      <c r="AM1100" s="26" t="s">
        <v>407</v>
      </c>
      <c r="AN1100" s="26" t="s">
        <v>407</v>
      </c>
      <c r="AO1100" s="26" t="s">
        <v>230</v>
      </c>
      <c r="AP1100" s="26" t="s">
        <v>154</v>
      </c>
      <c r="AQ1100" s="26">
        <v>3</v>
      </c>
      <c r="AR1100" s="26">
        <v>3</v>
      </c>
      <c r="AS1100" s="26" t="s">
        <v>404</v>
      </c>
      <c r="AU1100" s="26">
        <f t="shared" si="250"/>
        <v>8180</v>
      </c>
      <c r="AV1100" s="26">
        <v>10</v>
      </c>
      <c r="BB1100" s="26">
        <v>802</v>
      </c>
      <c r="BC1100" s="26">
        <v>856</v>
      </c>
      <c r="BK1100" s="26">
        <f>51.2*0.28</f>
        <v>14.336000000000002</v>
      </c>
      <c r="BL1100" s="26">
        <f>54.7*0.28</f>
        <v>15.316000000000003</v>
      </c>
      <c r="BM1100" s="26" t="s">
        <v>574</v>
      </c>
      <c r="DA1100" s="26">
        <v>14</v>
      </c>
      <c r="DB1100" s="26">
        <v>8</v>
      </c>
      <c r="DC1100" s="26" t="s">
        <v>923</v>
      </c>
      <c r="FA1100" s="26" t="s">
        <v>927</v>
      </c>
      <c r="FC1100" s="26">
        <v>53</v>
      </c>
    </row>
    <row r="1101" spans="1:159" s="26" customFormat="1" x14ac:dyDescent="0.25">
      <c r="A1101" s="26">
        <v>53</v>
      </c>
      <c r="B1101" s="26" t="s">
        <v>915</v>
      </c>
      <c r="C1101" s="26" t="s">
        <v>916</v>
      </c>
      <c r="D1101" s="26">
        <v>2006</v>
      </c>
      <c r="E1101" s="26">
        <v>2000</v>
      </c>
      <c r="F1101" s="26" t="s">
        <v>917</v>
      </c>
      <c r="G1101" s="26" t="s">
        <v>918</v>
      </c>
      <c r="H1101" s="26">
        <v>33.950000000000003</v>
      </c>
      <c r="I1101" s="26">
        <v>-83.38</v>
      </c>
      <c r="J1101" s="26">
        <v>208.4</v>
      </c>
      <c r="M1101" s="26">
        <f t="shared" si="246"/>
        <v>783</v>
      </c>
      <c r="N1101" s="26">
        <f t="shared" si="247"/>
        <v>1233</v>
      </c>
      <c r="P1101" s="52" t="s">
        <v>179</v>
      </c>
      <c r="Q1101" s="52"/>
      <c r="R1101" s="52"/>
      <c r="S1101" s="52" t="s">
        <v>1654</v>
      </c>
      <c r="T1101" s="52" t="s">
        <v>1654</v>
      </c>
      <c r="V1101" s="26">
        <f t="shared" si="245"/>
        <v>65</v>
      </c>
      <c r="W1101" s="26">
        <f>25</f>
        <v>25</v>
      </c>
      <c r="X1101" s="26" t="s">
        <v>298</v>
      </c>
      <c r="Y1101" s="26">
        <v>6.6</v>
      </c>
      <c r="Z1101" s="26">
        <v>0.88</v>
      </c>
      <c r="AB1101" s="26" t="s">
        <v>1582</v>
      </c>
      <c r="AC1101" s="26" t="s">
        <v>1802</v>
      </c>
      <c r="AD1101" s="153" t="str">
        <f t="shared" si="244"/>
        <v>Rye/Vetch</v>
      </c>
      <c r="AE1101" s="26" t="s">
        <v>709</v>
      </c>
      <c r="AG1101" s="26" t="s">
        <v>926</v>
      </c>
      <c r="AH1101" s="26" t="s">
        <v>926</v>
      </c>
      <c r="AI1101" s="26" t="s">
        <v>230</v>
      </c>
      <c r="AJ1101" s="26" t="s">
        <v>203</v>
      </c>
      <c r="AK1101" s="26" t="s">
        <v>203</v>
      </c>
      <c r="AL1101" s="26" t="s">
        <v>230</v>
      </c>
      <c r="AM1101" s="26" t="s">
        <v>921</v>
      </c>
      <c r="AN1101" s="26" t="s">
        <v>921</v>
      </c>
      <c r="AO1101" s="26" t="s">
        <v>230</v>
      </c>
      <c r="AP1101" s="26" t="s">
        <v>154</v>
      </c>
      <c r="AQ1101" s="26">
        <v>3</v>
      </c>
      <c r="AR1101" s="26">
        <v>3</v>
      </c>
      <c r="AS1101" s="26" t="s">
        <v>404</v>
      </c>
      <c r="AU1101" s="26">
        <f t="shared" si="250"/>
        <v>8180</v>
      </c>
      <c r="AV1101" s="26">
        <v>10</v>
      </c>
      <c r="BB1101" s="26">
        <v>814</v>
      </c>
      <c r="BC1101" s="26">
        <v>1009</v>
      </c>
      <c r="BK1101" s="26">
        <f>52.5*0.28</f>
        <v>14.700000000000001</v>
      </c>
      <c r="BL1101" s="26">
        <f>56.1*0.28</f>
        <v>15.708000000000002</v>
      </c>
      <c r="BM1101" s="26" t="s">
        <v>574</v>
      </c>
      <c r="FA1101" s="26" t="s">
        <v>927</v>
      </c>
      <c r="FC1101" s="26">
        <v>53</v>
      </c>
    </row>
    <row r="1102" spans="1:159" s="26" customFormat="1" x14ac:dyDescent="0.25">
      <c r="A1102" s="26">
        <v>53</v>
      </c>
      <c r="B1102" s="26" t="s">
        <v>915</v>
      </c>
      <c r="C1102" s="26" t="s">
        <v>916</v>
      </c>
      <c r="D1102" s="26">
        <v>2006</v>
      </c>
      <c r="E1102" s="26">
        <v>2000</v>
      </c>
      <c r="F1102" s="26" t="s">
        <v>917</v>
      </c>
      <c r="G1102" s="26" t="s">
        <v>918</v>
      </c>
      <c r="H1102" s="26">
        <v>33.950000000000003</v>
      </c>
      <c r="I1102" s="26">
        <v>-83.38</v>
      </c>
      <c r="J1102" s="26">
        <v>208.4</v>
      </c>
      <c r="M1102" s="26">
        <f t="shared" si="246"/>
        <v>783</v>
      </c>
      <c r="N1102" s="26">
        <f t="shared" si="247"/>
        <v>1233</v>
      </c>
      <c r="P1102" s="52" t="s">
        <v>179</v>
      </c>
      <c r="Q1102" s="52"/>
      <c r="R1102" s="52"/>
      <c r="S1102" s="52" t="s">
        <v>1654</v>
      </c>
      <c r="T1102" s="52" t="s">
        <v>1654</v>
      </c>
      <c r="V1102" s="26">
        <f t="shared" si="245"/>
        <v>65</v>
      </c>
      <c r="W1102" s="26">
        <f>25</f>
        <v>25</v>
      </c>
      <c r="X1102" s="26" t="s">
        <v>298</v>
      </c>
      <c r="Y1102" s="26">
        <v>6.6</v>
      </c>
      <c r="Z1102" s="26">
        <v>0.88</v>
      </c>
      <c r="AB1102" s="26" t="s">
        <v>1582</v>
      </c>
      <c r="AC1102" s="26" t="s">
        <v>1802</v>
      </c>
      <c r="AD1102" s="153" t="str">
        <f t="shared" si="244"/>
        <v>Rye/Vetch</v>
      </c>
      <c r="AE1102" s="26" t="s">
        <v>709</v>
      </c>
      <c r="AG1102" s="26" t="s">
        <v>926</v>
      </c>
      <c r="AH1102" s="26" t="s">
        <v>926</v>
      </c>
      <c r="AI1102" s="26" t="s">
        <v>230</v>
      </c>
      <c r="AJ1102" s="26" t="s">
        <v>919</v>
      </c>
      <c r="AK1102" s="26" t="s">
        <v>919</v>
      </c>
      <c r="AL1102" s="26" t="s">
        <v>230</v>
      </c>
      <c r="AM1102" s="26" t="s">
        <v>921</v>
      </c>
      <c r="AN1102" s="26" t="s">
        <v>921</v>
      </c>
      <c r="AO1102" s="26" t="s">
        <v>230</v>
      </c>
      <c r="AP1102" s="26" t="s">
        <v>154</v>
      </c>
      <c r="AQ1102" s="26">
        <v>3</v>
      </c>
      <c r="AR1102" s="26">
        <v>3</v>
      </c>
      <c r="AS1102" s="26" t="s">
        <v>404</v>
      </c>
      <c r="AU1102" s="26">
        <f t="shared" si="250"/>
        <v>8180</v>
      </c>
      <c r="AV1102" s="26">
        <v>10</v>
      </c>
      <c r="BB1102" s="26">
        <v>480</v>
      </c>
      <c r="BC1102" s="26">
        <v>645</v>
      </c>
      <c r="FA1102" s="26" t="s">
        <v>927</v>
      </c>
      <c r="FC1102" s="26">
        <v>53</v>
      </c>
    </row>
    <row r="1103" spans="1:159" s="26" customFormat="1" x14ac:dyDescent="0.25">
      <c r="A1103" s="26">
        <v>53</v>
      </c>
      <c r="B1103" s="26" t="s">
        <v>915</v>
      </c>
      <c r="C1103" s="26" t="s">
        <v>916</v>
      </c>
      <c r="D1103" s="26">
        <v>2006</v>
      </c>
      <c r="E1103" s="26">
        <v>2000</v>
      </c>
      <c r="F1103" s="26" t="s">
        <v>917</v>
      </c>
      <c r="G1103" s="26" t="s">
        <v>918</v>
      </c>
      <c r="H1103" s="26">
        <v>33.950000000000003</v>
      </c>
      <c r="I1103" s="26">
        <v>-83.38</v>
      </c>
      <c r="J1103" s="26">
        <v>208.4</v>
      </c>
      <c r="M1103" s="26">
        <f t="shared" si="246"/>
        <v>783</v>
      </c>
      <c r="N1103" s="26">
        <f t="shared" si="247"/>
        <v>1233</v>
      </c>
      <c r="P1103" s="52" t="s">
        <v>179</v>
      </c>
      <c r="Q1103" s="52"/>
      <c r="R1103" s="52"/>
      <c r="S1103" s="52" t="s">
        <v>1654</v>
      </c>
      <c r="T1103" s="52" t="s">
        <v>1654</v>
      </c>
      <c r="V1103" s="26">
        <f t="shared" si="245"/>
        <v>65</v>
      </c>
      <c r="W1103" s="26">
        <f>25</f>
        <v>25</v>
      </c>
      <c r="X1103" s="26" t="s">
        <v>298</v>
      </c>
      <c r="Y1103" s="26">
        <v>6.6</v>
      </c>
      <c r="Z1103" s="26">
        <v>0.88</v>
      </c>
      <c r="AB1103" s="26" t="s">
        <v>1582</v>
      </c>
      <c r="AC1103" s="26" t="s">
        <v>1802</v>
      </c>
      <c r="AD1103" s="153" t="str">
        <f t="shared" si="244"/>
        <v>Rye/Vetch</v>
      </c>
      <c r="AE1103" s="26" t="s">
        <v>709</v>
      </c>
      <c r="AG1103" s="26" t="s">
        <v>926</v>
      </c>
      <c r="AH1103" s="26" t="s">
        <v>926</v>
      </c>
      <c r="AI1103" s="26" t="s">
        <v>230</v>
      </c>
      <c r="AJ1103" s="26" t="s">
        <v>920</v>
      </c>
      <c r="AK1103" s="26" t="s">
        <v>920</v>
      </c>
      <c r="AL1103" s="26" t="s">
        <v>230</v>
      </c>
      <c r="AM1103" s="26" t="s">
        <v>921</v>
      </c>
      <c r="AN1103" s="26" t="s">
        <v>921</v>
      </c>
      <c r="AO1103" s="26" t="s">
        <v>230</v>
      </c>
      <c r="AP1103" s="26" t="s">
        <v>154</v>
      </c>
      <c r="AQ1103" s="26">
        <v>3</v>
      </c>
      <c r="AR1103" s="26">
        <v>3</v>
      </c>
      <c r="AS1103" s="26" t="s">
        <v>404</v>
      </c>
      <c r="AU1103" s="26">
        <f t="shared" si="250"/>
        <v>8180</v>
      </c>
      <c r="AV1103" s="26">
        <v>10</v>
      </c>
      <c r="BB1103" s="26">
        <v>802</v>
      </c>
      <c r="BC1103" s="26">
        <v>666</v>
      </c>
      <c r="FA1103" s="26" t="s">
        <v>927</v>
      </c>
      <c r="FC1103" s="26">
        <v>53</v>
      </c>
    </row>
    <row r="1104" spans="1:159" s="26" customFormat="1" x14ac:dyDescent="0.25">
      <c r="A1104" s="26">
        <v>53</v>
      </c>
      <c r="B1104" s="26" t="s">
        <v>915</v>
      </c>
      <c r="C1104" s="26" t="s">
        <v>916</v>
      </c>
      <c r="D1104" s="26">
        <v>2006</v>
      </c>
      <c r="E1104" s="26">
        <v>2000</v>
      </c>
      <c r="F1104" s="26" t="s">
        <v>917</v>
      </c>
      <c r="G1104" s="26" t="s">
        <v>918</v>
      </c>
      <c r="H1104" s="26">
        <v>33.950000000000003</v>
      </c>
      <c r="I1104" s="26">
        <v>-83.38</v>
      </c>
      <c r="J1104" s="26">
        <v>208.4</v>
      </c>
      <c r="M1104" s="26">
        <f t="shared" si="246"/>
        <v>783</v>
      </c>
      <c r="N1104" s="26">
        <f t="shared" si="247"/>
        <v>1233</v>
      </c>
      <c r="P1104" s="52" t="s">
        <v>179</v>
      </c>
      <c r="Q1104" s="52"/>
      <c r="R1104" s="52"/>
      <c r="S1104" s="52" t="s">
        <v>1654</v>
      </c>
      <c r="T1104" s="52" t="s">
        <v>1654</v>
      </c>
      <c r="V1104" s="26">
        <f t="shared" si="245"/>
        <v>65</v>
      </c>
      <c r="W1104" s="26">
        <f>25</f>
        <v>25</v>
      </c>
      <c r="X1104" s="26" t="s">
        <v>298</v>
      </c>
      <c r="Y1104" s="26">
        <v>6.6</v>
      </c>
      <c r="Z1104" s="26">
        <v>0.88</v>
      </c>
      <c r="AB1104" s="26" t="s">
        <v>1582</v>
      </c>
      <c r="AC1104" s="26" t="s">
        <v>1802</v>
      </c>
      <c r="AD1104" s="153" t="str">
        <f t="shared" si="244"/>
        <v>Rye/Vetch</v>
      </c>
      <c r="AE1104" s="26" t="s">
        <v>709</v>
      </c>
      <c r="AG1104" s="26" t="s">
        <v>926</v>
      </c>
      <c r="AH1104" s="26" t="s">
        <v>926</v>
      </c>
      <c r="AI1104" s="26" t="s">
        <v>230</v>
      </c>
      <c r="AJ1104" s="26" t="s">
        <v>203</v>
      </c>
      <c r="AK1104" s="26" t="s">
        <v>203</v>
      </c>
      <c r="AL1104" s="26" t="s">
        <v>230</v>
      </c>
      <c r="AM1104" s="26" t="s">
        <v>922</v>
      </c>
      <c r="AN1104" s="26" t="s">
        <v>922</v>
      </c>
      <c r="AO1104" s="26" t="s">
        <v>230</v>
      </c>
      <c r="AP1104" s="26" t="s">
        <v>154</v>
      </c>
      <c r="AQ1104" s="26">
        <v>3</v>
      </c>
      <c r="AR1104" s="26">
        <v>3</v>
      </c>
      <c r="AS1104" s="26" t="s">
        <v>404</v>
      </c>
      <c r="AU1104" s="26">
        <f t="shared" si="250"/>
        <v>8180</v>
      </c>
      <c r="AV1104" s="26">
        <v>10</v>
      </c>
      <c r="BB1104" s="26">
        <v>814</v>
      </c>
      <c r="BC1104" s="26">
        <v>824</v>
      </c>
      <c r="BK1104" s="26">
        <f>52.5*0.28</f>
        <v>14.700000000000001</v>
      </c>
      <c r="BL1104" s="26">
        <f>59.9*0.28</f>
        <v>16.772000000000002</v>
      </c>
      <c r="BM1104" s="26" t="s">
        <v>574</v>
      </c>
      <c r="FA1104" s="26" t="s">
        <v>927</v>
      </c>
      <c r="FC1104" s="26">
        <v>53</v>
      </c>
    </row>
    <row r="1105" spans="1:159" s="26" customFormat="1" x14ac:dyDescent="0.25">
      <c r="A1105" s="26">
        <v>53</v>
      </c>
      <c r="B1105" s="26" t="s">
        <v>915</v>
      </c>
      <c r="C1105" s="26" t="s">
        <v>916</v>
      </c>
      <c r="D1105" s="26">
        <v>2006</v>
      </c>
      <c r="E1105" s="26">
        <v>2000</v>
      </c>
      <c r="F1105" s="26" t="s">
        <v>917</v>
      </c>
      <c r="G1105" s="26" t="s">
        <v>918</v>
      </c>
      <c r="H1105" s="26">
        <v>33.950000000000003</v>
      </c>
      <c r="I1105" s="26">
        <v>-83.38</v>
      </c>
      <c r="J1105" s="26">
        <v>208.4</v>
      </c>
      <c r="M1105" s="26">
        <f t="shared" si="246"/>
        <v>783</v>
      </c>
      <c r="N1105" s="26">
        <f t="shared" si="247"/>
        <v>1233</v>
      </c>
      <c r="P1105" s="52" t="s">
        <v>179</v>
      </c>
      <c r="Q1105" s="52"/>
      <c r="R1105" s="52"/>
      <c r="S1105" s="52" t="s">
        <v>1654</v>
      </c>
      <c r="T1105" s="52" t="s">
        <v>1654</v>
      </c>
      <c r="V1105" s="26">
        <f t="shared" si="245"/>
        <v>65</v>
      </c>
      <c r="W1105" s="26">
        <f>25</f>
        <v>25</v>
      </c>
      <c r="X1105" s="26" t="s">
        <v>298</v>
      </c>
      <c r="Y1105" s="26">
        <v>6.6</v>
      </c>
      <c r="Z1105" s="26">
        <v>0.88</v>
      </c>
      <c r="AB1105" s="26" t="s">
        <v>1582</v>
      </c>
      <c r="AC1105" s="26" t="s">
        <v>1802</v>
      </c>
      <c r="AD1105" s="153" t="str">
        <f t="shared" si="244"/>
        <v>Rye/Vetch</v>
      </c>
      <c r="AE1105" s="26" t="s">
        <v>709</v>
      </c>
      <c r="AG1105" s="26" t="s">
        <v>926</v>
      </c>
      <c r="AH1105" s="26" t="s">
        <v>926</v>
      </c>
      <c r="AI1105" s="26" t="s">
        <v>230</v>
      </c>
      <c r="AJ1105" s="26" t="s">
        <v>919</v>
      </c>
      <c r="AK1105" s="26" t="s">
        <v>919</v>
      </c>
      <c r="AL1105" s="26" t="s">
        <v>230</v>
      </c>
      <c r="AM1105" s="26" t="s">
        <v>922</v>
      </c>
      <c r="AN1105" s="26" t="s">
        <v>922</v>
      </c>
      <c r="AO1105" s="26" t="s">
        <v>230</v>
      </c>
      <c r="AP1105" s="26" t="s">
        <v>154</v>
      </c>
      <c r="AQ1105" s="26">
        <v>3</v>
      </c>
      <c r="AR1105" s="26">
        <v>3</v>
      </c>
      <c r="AS1105" s="26" t="s">
        <v>404</v>
      </c>
      <c r="AU1105" s="26">
        <f t="shared" si="250"/>
        <v>8180</v>
      </c>
      <c r="AV1105" s="26">
        <v>10</v>
      </c>
      <c r="BB1105" s="26">
        <v>480</v>
      </c>
      <c r="BC1105" s="26">
        <v>594</v>
      </c>
      <c r="FA1105" s="26" t="s">
        <v>927</v>
      </c>
      <c r="FC1105" s="26">
        <v>53</v>
      </c>
    </row>
    <row r="1106" spans="1:159" s="26" customFormat="1" x14ac:dyDescent="0.25">
      <c r="A1106" s="26">
        <v>53</v>
      </c>
      <c r="B1106" s="26" t="s">
        <v>915</v>
      </c>
      <c r="C1106" s="26" t="s">
        <v>916</v>
      </c>
      <c r="D1106" s="26">
        <v>2006</v>
      </c>
      <c r="E1106" s="26">
        <v>2000</v>
      </c>
      <c r="F1106" s="26" t="s">
        <v>917</v>
      </c>
      <c r="G1106" s="26" t="s">
        <v>918</v>
      </c>
      <c r="H1106" s="26">
        <v>33.950000000000003</v>
      </c>
      <c r="I1106" s="26">
        <v>-83.38</v>
      </c>
      <c r="J1106" s="26">
        <v>208.4</v>
      </c>
      <c r="M1106" s="26">
        <f t="shared" si="246"/>
        <v>783</v>
      </c>
      <c r="N1106" s="26">
        <f t="shared" si="247"/>
        <v>1233</v>
      </c>
      <c r="P1106" s="52" t="s">
        <v>179</v>
      </c>
      <c r="Q1106" s="52"/>
      <c r="R1106" s="52"/>
      <c r="S1106" s="52" t="s">
        <v>1654</v>
      </c>
      <c r="T1106" s="52" t="s">
        <v>1654</v>
      </c>
      <c r="V1106" s="26">
        <f t="shared" si="245"/>
        <v>65</v>
      </c>
      <c r="W1106" s="26">
        <f>25</f>
        <v>25</v>
      </c>
      <c r="X1106" s="26" t="s">
        <v>298</v>
      </c>
      <c r="Y1106" s="26">
        <v>6.6</v>
      </c>
      <c r="Z1106" s="26">
        <v>0.88</v>
      </c>
      <c r="AB1106" s="26" t="s">
        <v>1582</v>
      </c>
      <c r="AC1106" s="26" t="s">
        <v>1802</v>
      </c>
      <c r="AD1106" s="153" t="str">
        <f t="shared" si="244"/>
        <v>Rye/Vetch</v>
      </c>
      <c r="AE1106" s="26" t="s">
        <v>709</v>
      </c>
      <c r="AG1106" s="26" t="s">
        <v>926</v>
      </c>
      <c r="AH1106" s="26" t="s">
        <v>926</v>
      </c>
      <c r="AI1106" s="26" t="s">
        <v>230</v>
      </c>
      <c r="AJ1106" s="26" t="s">
        <v>920</v>
      </c>
      <c r="AK1106" s="26" t="s">
        <v>920</v>
      </c>
      <c r="AL1106" s="26" t="s">
        <v>230</v>
      </c>
      <c r="AM1106" s="26" t="s">
        <v>922</v>
      </c>
      <c r="AN1106" s="26" t="s">
        <v>922</v>
      </c>
      <c r="AO1106" s="26" t="s">
        <v>230</v>
      </c>
      <c r="AP1106" s="26" t="s">
        <v>154</v>
      </c>
      <c r="AQ1106" s="26">
        <v>3</v>
      </c>
      <c r="AR1106" s="26">
        <v>3</v>
      </c>
      <c r="AS1106" s="26" t="s">
        <v>404</v>
      </c>
      <c r="AU1106" s="26">
        <f t="shared" si="250"/>
        <v>8180</v>
      </c>
      <c r="AV1106" s="26">
        <v>10</v>
      </c>
      <c r="BB1106" s="26">
        <v>802</v>
      </c>
      <c r="BC1106" s="26">
        <v>647</v>
      </c>
      <c r="FA1106" s="26" t="s">
        <v>927</v>
      </c>
      <c r="FC1106" s="26">
        <v>53</v>
      </c>
    </row>
    <row r="1107" spans="1:159" s="83" customFormat="1" x14ac:dyDescent="0.25">
      <c r="A1107" s="83">
        <v>53</v>
      </c>
      <c r="B1107" s="83" t="s">
        <v>915</v>
      </c>
      <c r="C1107" s="83" t="s">
        <v>916</v>
      </c>
      <c r="D1107" s="83">
        <v>2006</v>
      </c>
      <c r="E1107" s="83">
        <v>2001</v>
      </c>
      <c r="F1107" s="83" t="s">
        <v>917</v>
      </c>
      <c r="G1107" s="83" t="s">
        <v>918</v>
      </c>
      <c r="H1107" s="83">
        <v>33.950000000000003</v>
      </c>
      <c r="I1107" s="83">
        <v>-83.38</v>
      </c>
      <c r="J1107" s="83">
        <v>208.4</v>
      </c>
      <c r="M1107" s="83">
        <f>341+407</f>
        <v>748</v>
      </c>
      <c r="N1107" s="83">
        <f t="shared" si="247"/>
        <v>1233</v>
      </c>
      <c r="P1107" s="84" t="s">
        <v>180</v>
      </c>
      <c r="Q1107" s="84"/>
      <c r="R1107" s="84"/>
      <c r="S1107" s="84" t="s">
        <v>1654</v>
      </c>
      <c r="T1107" s="84" t="s">
        <v>1654</v>
      </c>
      <c r="V1107" s="83">
        <f t="shared" si="245"/>
        <v>65</v>
      </c>
      <c r="W1107" s="83">
        <f>25</f>
        <v>25</v>
      </c>
      <c r="X1107" s="83" t="s">
        <v>298</v>
      </c>
      <c r="Y1107" s="83">
        <v>6.6</v>
      </c>
      <c r="Z1107" s="83">
        <v>0.88</v>
      </c>
      <c r="AB1107" s="26" t="s">
        <v>1582</v>
      </c>
      <c r="AC1107" s="83" t="s">
        <v>166</v>
      </c>
      <c r="AD1107" s="153" t="str">
        <f t="shared" si="244"/>
        <v>Rye</v>
      </c>
      <c r="AE1107" s="83" t="s">
        <v>277</v>
      </c>
      <c r="AG1107" s="83" t="s">
        <v>926</v>
      </c>
      <c r="AH1107" s="83" t="s">
        <v>926</v>
      </c>
      <c r="AI1107" s="83" t="s">
        <v>230</v>
      </c>
      <c r="AJ1107" s="83" t="s">
        <v>203</v>
      </c>
      <c r="AK1107" s="83" t="s">
        <v>203</v>
      </c>
      <c r="AL1107" s="83" t="s">
        <v>230</v>
      </c>
      <c r="AM1107" s="83" t="s">
        <v>407</v>
      </c>
      <c r="AN1107" s="83" t="s">
        <v>407</v>
      </c>
      <c r="AO1107" s="83" t="s">
        <v>230</v>
      </c>
      <c r="AP1107" s="83" t="s">
        <v>154</v>
      </c>
      <c r="AQ1107" s="83">
        <v>3</v>
      </c>
      <c r="AR1107" s="83">
        <v>3</v>
      </c>
      <c r="AS1107" s="83" t="s">
        <v>404</v>
      </c>
      <c r="AU1107" s="83">
        <v>3810</v>
      </c>
      <c r="AV1107" s="83">
        <v>57</v>
      </c>
      <c r="AY1107" s="83">
        <v>10600</v>
      </c>
      <c r="AZ1107" s="83">
        <v>7100</v>
      </c>
      <c r="BA1107" s="83" t="s">
        <v>1015</v>
      </c>
      <c r="BB1107" s="83">
        <v>2700</v>
      </c>
      <c r="BC1107" s="83">
        <v>1500</v>
      </c>
      <c r="BM1107" s="26"/>
      <c r="DA1107" s="83">
        <v>11</v>
      </c>
      <c r="DB1107" s="83">
        <v>17</v>
      </c>
      <c r="DC1107" s="83" t="s">
        <v>923</v>
      </c>
      <c r="FA1107" s="83" t="s">
        <v>927</v>
      </c>
      <c r="FC1107" s="83">
        <v>53</v>
      </c>
    </row>
    <row r="1108" spans="1:159" s="83" customFormat="1" x14ac:dyDescent="0.25">
      <c r="A1108" s="83">
        <v>53</v>
      </c>
      <c r="B1108" s="83" t="s">
        <v>915</v>
      </c>
      <c r="C1108" s="83" t="s">
        <v>916</v>
      </c>
      <c r="D1108" s="83">
        <v>2006</v>
      </c>
      <c r="E1108" s="83">
        <v>2001</v>
      </c>
      <c r="F1108" s="83" t="s">
        <v>917</v>
      </c>
      <c r="G1108" s="83" t="s">
        <v>918</v>
      </c>
      <c r="H1108" s="83">
        <v>33.950000000000003</v>
      </c>
      <c r="I1108" s="83">
        <v>-83.38</v>
      </c>
      <c r="J1108" s="83">
        <v>208.4</v>
      </c>
      <c r="M1108" s="83">
        <f t="shared" ref="M1108:M1115" si="251">341+407</f>
        <v>748</v>
      </c>
      <c r="N1108" s="83">
        <f t="shared" si="247"/>
        <v>1233</v>
      </c>
      <c r="P1108" s="84" t="s">
        <v>180</v>
      </c>
      <c r="Q1108" s="84"/>
      <c r="R1108" s="84"/>
      <c r="S1108" s="84" t="s">
        <v>1654</v>
      </c>
      <c r="T1108" s="84" t="s">
        <v>1654</v>
      </c>
      <c r="V1108" s="83">
        <f t="shared" si="245"/>
        <v>65</v>
      </c>
      <c r="W1108" s="83">
        <f>25</f>
        <v>25</v>
      </c>
      <c r="X1108" s="83" t="s">
        <v>298</v>
      </c>
      <c r="Y1108" s="83">
        <v>6.6</v>
      </c>
      <c r="Z1108" s="83">
        <v>0.88</v>
      </c>
      <c r="AB1108" s="26" t="s">
        <v>1582</v>
      </c>
      <c r="AC1108" s="83" t="s">
        <v>301</v>
      </c>
      <c r="AD1108" s="153" t="str">
        <f t="shared" si="244"/>
        <v>Vetch</v>
      </c>
      <c r="AE1108" s="83" t="s">
        <v>277</v>
      </c>
      <c r="AG1108" s="83" t="s">
        <v>926</v>
      </c>
      <c r="AH1108" s="83" t="s">
        <v>926</v>
      </c>
      <c r="AI1108" s="83" t="s">
        <v>230</v>
      </c>
      <c r="AJ1108" s="83" t="s">
        <v>203</v>
      </c>
      <c r="AK1108" s="83" t="s">
        <v>203</v>
      </c>
      <c r="AL1108" s="83" t="s">
        <v>230</v>
      </c>
      <c r="AM1108" s="83" t="s">
        <v>407</v>
      </c>
      <c r="AN1108" s="83" t="s">
        <v>407</v>
      </c>
      <c r="AO1108" s="83" t="s">
        <v>230</v>
      </c>
      <c r="AP1108" s="83" t="s">
        <v>154</v>
      </c>
      <c r="AQ1108" s="83">
        <v>3</v>
      </c>
      <c r="AR1108" s="83">
        <v>3</v>
      </c>
      <c r="AS1108" s="83" t="s">
        <v>404</v>
      </c>
      <c r="AU1108" s="83">
        <v>3810</v>
      </c>
      <c r="AV1108" s="83">
        <v>57</v>
      </c>
      <c r="AY1108" s="83">
        <v>10600</v>
      </c>
      <c r="AZ1108" s="83">
        <v>14800</v>
      </c>
      <c r="BA1108" s="83" t="s">
        <v>1015</v>
      </c>
      <c r="BB1108" s="83">
        <v>2700</v>
      </c>
      <c r="BC1108" s="83">
        <v>3300</v>
      </c>
      <c r="BM1108" s="26"/>
      <c r="DA1108" s="83">
        <v>8</v>
      </c>
      <c r="DB1108" s="83">
        <v>9</v>
      </c>
      <c r="DC1108" s="83" t="s">
        <v>923</v>
      </c>
      <c r="FA1108" s="83" t="s">
        <v>927</v>
      </c>
      <c r="FC1108" s="83">
        <v>53</v>
      </c>
    </row>
    <row r="1109" spans="1:159" s="83" customFormat="1" x14ac:dyDescent="0.25">
      <c r="A1109" s="83">
        <v>53</v>
      </c>
      <c r="B1109" s="83" t="s">
        <v>915</v>
      </c>
      <c r="C1109" s="83" t="s">
        <v>916</v>
      </c>
      <c r="D1109" s="83">
        <v>2006</v>
      </c>
      <c r="E1109" s="83">
        <v>2001</v>
      </c>
      <c r="F1109" s="83" t="s">
        <v>917</v>
      </c>
      <c r="G1109" s="83" t="s">
        <v>918</v>
      </c>
      <c r="H1109" s="83">
        <v>33.950000000000003</v>
      </c>
      <c r="I1109" s="83">
        <v>-83.38</v>
      </c>
      <c r="J1109" s="83">
        <v>208.4</v>
      </c>
      <c r="M1109" s="83">
        <f t="shared" si="251"/>
        <v>748</v>
      </c>
      <c r="N1109" s="83">
        <f t="shared" si="247"/>
        <v>1233</v>
      </c>
      <c r="P1109" s="84" t="s">
        <v>180</v>
      </c>
      <c r="Q1109" s="84"/>
      <c r="R1109" s="84"/>
      <c r="S1109" s="84" t="s">
        <v>1654</v>
      </c>
      <c r="T1109" s="84" t="s">
        <v>1654</v>
      </c>
      <c r="V1109" s="83">
        <f t="shared" si="245"/>
        <v>65</v>
      </c>
      <c r="W1109" s="83">
        <f>25</f>
        <v>25</v>
      </c>
      <c r="X1109" s="83" t="s">
        <v>298</v>
      </c>
      <c r="Y1109" s="83">
        <v>6.6</v>
      </c>
      <c r="Z1109" s="83">
        <v>0.88</v>
      </c>
      <c r="AB1109" s="26" t="s">
        <v>1582</v>
      </c>
      <c r="AC1109" s="83" t="s">
        <v>1802</v>
      </c>
      <c r="AD1109" s="153" t="str">
        <f t="shared" si="244"/>
        <v>Rye/Vetch</v>
      </c>
      <c r="AE1109" s="83" t="s">
        <v>277</v>
      </c>
      <c r="AG1109" s="83" t="s">
        <v>926</v>
      </c>
      <c r="AH1109" s="83" t="s">
        <v>926</v>
      </c>
      <c r="AI1109" s="83" t="s">
        <v>230</v>
      </c>
      <c r="AJ1109" s="83" t="s">
        <v>203</v>
      </c>
      <c r="AK1109" s="83" t="s">
        <v>203</v>
      </c>
      <c r="AL1109" s="83" t="s">
        <v>230</v>
      </c>
      <c r="AM1109" s="83" t="s">
        <v>407</v>
      </c>
      <c r="AN1109" s="83" t="s">
        <v>407</v>
      </c>
      <c r="AO1109" s="83" t="s">
        <v>230</v>
      </c>
      <c r="AP1109" s="83" t="s">
        <v>154</v>
      </c>
      <c r="AQ1109" s="83">
        <v>3</v>
      </c>
      <c r="AR1109" s="83">
        <v>3</v>
      </c>
      <c r="AS1109" s="83" t="s">
        <v>404</v>
      </c>
      <c r="AU1109" s="83">
        <v>3810</v>
      </c>
      <c r="AV1109" s="83">
        <v>57</v>
      </c>
      <c r="AY1109" s="83">
        <v>10600</v>
      </c>
      <c r="AZ1109" s="83">
        <v>13800</v>
      </c>
      <c r="BA1109" s="83" t="s">
        <v>1015</v>
      </c>
      <c r="BB1109" s="83">
        <v>2700</v>
      </c>
      <c r="BC1109" s="83">
        <v>3500</v>
      </c>
      <c r="BM1109" s="26"/>
      <c r="DA1109" s="83">
        <v>14</v>
      </c>
      <c r="DB1109" s="83">
        <v>8</v>
      </c>
      <c r="DC1109" s="83" t="s">
        <v>923</v>
      </c>
      <c r="FA1109" s="83" t="s">
        <v>927</v>
      </c>
      <c r="FC1109" s="83">
        <v>53</v>
      </c>
    </row>
    <row r="1110" spans="1:159" s="83" customFormat="1" x14ac:dyDescent="0.25">
      <c r="A1110" s="83">
        <v>53</v>
      </c>
      <c r="B1110" s="83" t="s">
        <v>915</v>
      </c>
      <c r="C1110" s="83" t="s">
        <v>916</v>
      </c>
      <c r="D1110" s="83">
        <v>2006</v>
      </c>
      <c r="E1110" s="83">
        <v>2001</v>
      </c>
      <c r="F1110" s="83" t="s">
        <v>917</v>
      </c>
      <c r="G1110" s="83" t="s">
        <v>918</v>
      </c>
      <c r="H1110" s="83">
        <v>33.950000000000003</v>
      </c>
      <c r="I1110" s="83">
        <v>-83.38</v>
      </c>
      <c r="J1110" s="83">
        <v>208.4</v>
      </c>
      <c r="M1110" s="83">
        <f t="shared" si="251"/>
        <v>748</v>
      </c>
      <c r="N1110" s="83">
        <f t="shared" si="247"/>
        <v>1233</v>
      </c>
      <c r="P1110" s="84" t="s">
        <v>180</v>
      </c>
      <c r="Q1110" s="84"/>
      <c r="R1110" s="84"/>
      <c r="S1110" s="84" t="s">
        <v>1654</v>
      </c>
      <c r="T1110" s="84" t="s">
        <v>1654</v>
      </c>
      <c r="V1110" s="83">
        <f t="shared" si="245"/>
        <v>65</v>
      </c>
      <c r="W1110" s="83">
        <f>25</f>
        <v>25</v>
      </c>
      <c r="X1110" s="83" t="s">
        <v>298</v>
      </c>
      <c r="Y1110" s="83">
        <v>6.6</v>
      </c>
      <c r="Z1110" s="83">
        <v>0.88</v>
      </c>
      <c r="AB1110" s="26" t="s">
        <v>1582</v>
      </c>
      <c r="AC1110" s="83" t="s">
        <v>166</v>
      </c>
      <c r="AD1110" s="153" t="str">
        <f t="shared" si="244"/>
        <v>Rye</v>
      </c>
      <c r="AE1110" s="83" t="s">
        <v>277</v>
      </c>
      <c r="AG1110" s="83" t="s">
        <v>926</v>
      </c>
      <c r="AH1110" s="83" t="s">
        <v>926</v>
      </c>
      <c r="AI1110" s="83" t="s">
        <v>230</v>
      </c>
      <c r="AJ1110" s="83" t="s">
        <v>203</v>
      </c>
      <c r="AK1110" s="83" t="s">
        <v>203</v>
      </c>
      <c r="AL1110" s="83" t="s">
        <v>230</v>
      </c>
      <c r="AM1110" s="83" t="s">
        <v>924</v>
      </c>
      <c r="AN1110" s="83" t="s">
        <v>924</v>
      </c>
      <c r="AO1110" s="83" t="s">
        <v>230</v>
      </c>
      <c r="AP1110" s="83" t="s">
        <v>154</v>
      </c>
      <c r="AQ1110" s="83">
        <v>3</v>
      </c>
      <c r="AR1110" s="83">
        <v>3</v>
      </c>
      <c r="AS1110" s="83" t="s">
        <v>404</v>
      </c>
      <c r="AU1110" s="83">
        <v>2440</v>
      </c>
      <c r="AV1110" s="83">
        <v>12</v>
      </c>
      <c r="AY1110" s="83">
        <v>11200</v>
      </c>
      <c r="AZ1110" s="83">
        <v>9400</v>
      </c>
      <c r="BA1110" s="83" t="s">
        <v>1015</v>
      </c>
      <c r="BB1110" s="83">
        <v>2200</v>
      </c>
      <c r="BC1110" s="83">
        <v>2200</v>
      </c>
      <c r="BM1110" s="26"/>
      <c r="FA1110" s="83" t="s">
        <v>927</v>
      </c>
      <c r="FC1110" s="83">
        <v>53</v>
      </c>
    </row>
    <row r="1111" spans="1:159" s="83" customFormat="1" x14ac:dyDescent="0.25">
      <c r="A1111" s="83">
        <v>53</v>
      </c>
      <c r="B1111" s="83" t="s">
        <v>915</v>
      </c>
      <c r="C1111" s="83" t="s">
        <v>916</v>
      </c>
      <c r="D1111" s="83">
        <v>2006</v>
      </c>
      <c r="E1111" s="83">
        <v>2001</v>
      </c>
      <c r="F1111" s="83" t="s">
        <v>917</v>
      </c>
      <c r="G1111" s="83" t="s">
        <v>918</v>
      </c>
      <c r="H1111" s="83">
        <v>33.950000000000003</v>
      </c>
      <c r="I1111" s="83">
        <v>-83.38</v>
      </c>
      <c r="J1111" s="83">
        <v>208.4</v>
      </c>
      <c r="M1111" s="83">
        <f t="shared" si="251"/>
        <v>748</v>
      </c>
      <c r="N1111" s="83">
        <f t="shared" si="247"/>
        <v>1233</v>
      </c>
      <c r="P1111" s="84" t="s">
        <v>180</v>
      </c>
      <c r="Q1111" s="84"/>
      <c r="R1111" s="84"/>
      <c r="S1111" s="84" t="s">
        <v>1654</v>
      </c>
      <c r="T1111" s="84" t="s">
        <v>1654</v>
      </c>
      <c r="V1111" s="83">
        <f t="shared" si="245"/>
        <v>65</v>
      </c>
      <c r="W1111" s="83">
        <f>25</f>
        <v>25</v>
      </c>
      <c r="X1111" s="83" t="s">
        <v>298</v>
      </c>
      <c r="Y1111" s="83">
        <v>6.6</v>
      </c>
      <c r="Z1111" s="83">
        <v>0.88</v>
      </c>
      <c r="AB1111" s="26" t="s">
        <v>1582</v>
      </c>
      <c r="AC1111" s="83" t="s">
        <v>301</v>
      </c>
      <c r="AD1111" s="153" t="str">
        <f t="shared" si="244"/>
        <v>Vetch</v>
      </c>
      <c r="AE1111" s="83" t="s">
        <v>277</v>
      </c>
      <c r="AG1111" s="83" t="s">
        <v>926</v>
      </c>
      <c r="AH1111" s="83" t="s">
        <v>926</v>
      </c>
      <c r="AI1111" s="83" t="s">
        <v>230</v>
      </c>
      <c r="AJ1111" s="83" t="s">
        <v>203</v>
      </c>
      <c r="AK1111" s="83" t="s">
        <v>203</v>
      </c>
      <c r="AL1111" s="83" t="s">
        <v>230</v>
      </c>
      <c r="AM1111" s="83" t="s">
        <v>924</v>
      </c>
      <c r="AN1111" s="83" t="s">
        <v>924</v>
      </c>
      <c r="AO1111" s="83" t="s">
        <v>230</v>
      </c>
      <c r="AP1111" s="83" t="s">
        <v>154</v>
      </c>
      <c r="AQ1111" s="83">
        <v>3</v>
      </c>
      <c r="AR1111" s="83">
        <v>3</v>
      </c>
      <c r="AS1111" s="83" t="s">
        <v>404</v>
      </c>
      <c r="AU1111" s="83">
        <v>2440</v>
      </c>
      <c r="AV1111" s="83">
        <v>12</v>
      </c>
      <c r="AY1111" s="83">
        <v>11200</v>
      </c>
      <c r="AZ1111" s="83">
        <v>14300</v>
      </c>
      <c r="BA1111" s="83" t="s">
        <v>1015</v>
      </c>
      <c r="BB1111" s="83">
        <v>2200</v>
      </c>
      <c r="BC1111" s="83">
        <v>3700</v>
      </c>
      <c r="BM1111" s="26"/>
      <c r="FA1111" s="83" t="s">
        <v>927</v>
      </c>
      <c r="FC1111" s="83">
        <v>53</v>
      </c>
    </row>
    <row r="1112" spans="1:159" s="83" customFormat="1" x14ac:dyDescent="0.25">
      <c r="A1112" s="83">
        <v>53</v>
      </c>
      <c r="B1112" s="83" t="s">
        <v>915</v>
      </c>
      <c r="C1112" s="83" t="s">
        <v>916</v>
      </c>
      <c r="D1112" s="83">
        <v>2006</v>
      </c>
      <c r="E1112" s="83">
        <v>2001</v>
      </c>
      <c r="F1112" s="83" t="s">
        <v>917</v>
      </c>
      <c r="G1112" s="83" t="s">
        <v>918</v>
      </c>
      <c r="H1112" s="83">
        <v>33.950000000000003</v>
      </c>
      <c r="I1112" s="83">
        <v>-83.38</v>
      </c>
      <c r="J1112" s="83">
        <v>208.4</v>
      </c>
      <c r="M1112" s="83">
        <f t="shared" si="251"/>
        <v>748</v>
      </c>
      <c r="N1112" s="83">
        <f t="shared" si="247"/>
        <v>1233</v>
      </c>
      <c r="P1112" s="84" t="s">
        <v>180</v>
      </c>
      <c r="Q1112" s="84"/>
      <c r="R1112" s="84"/>
      <c r="S1112" s="84" t="s">
        <v>1654</v>
      </c>
      <c r="T1112" s="84" t="s">
        <v>1654</v>
      </c>
      <c r="V1112" s="83">
        <f t="shared" si="245"/>
        <v>65</v>
      </c>
      <c r="W1112" s="83">
        <f>25</f>
        <v>25</v>
      </c>
      <c r="X1112" s="83" t="s">
        <v>298</v>
      </c>
      <c r="Y1112" s="83">
        <v>6.6</v>
      </c>
      <c r="Z1112" s="83">
        <v>0.88</v>
      </c>
      <c r="AB1112" s="26" t="s">
        <v>1582</v>
      </c>
      <c r="AC1112" s="83" t="s">
        <v>1802</v>
      </c>
      <c r="AD1112" s="153" t="str">
        <f t="shared" si="244"/>
        <v>Rye/Vetch</v>
      </c>
      <c r="AE1112" s="83" t="s">
        <v>277</v>
      </c>
      <c r="AG1112" s="83" t="s">
        <v>926</v>
      </c>
      <c r="AH1112" s="83" t="s">
        <v>926</v>
      </c>
      <c r="AI1112" s="83" t="s">
        <v>230</v>
      </c>
      <c r="AJ1112" s="83" t="s">
        <v>203</v>
      </c>
      <c r="AK1112" s="83" t="s">
        <v>203</v>
      </c>
      <c r="AL1112" s="83" t="s">
        <v>230</v>
      </c>
      <c r="AM1112" s="83" t="s">
        <v>924</v>
      </c>
      <c r="AN1112" s="83" t="s">
        <v>924</v>
      </c>
      <c r="AO1112" s="83" t="s">
        <v>230</v>
      </c>
      <c r="AP1112" s="83" t="s">
        <v>154</v>
      </c>
      <c r="AQ1112" s="83">
        <v>3</v>
      </c>
      <c r="AR1112" s="83">
        <v>3</v>
      </c>
      <c r="AS1112" s="83" t="s">
        <v>404</v>
      </c>
      <c r="AU1112" s="83">
        <v>2440</v>
      </c>
      <c r="AV1112" s="83">
        <v>12</v>
      </c>
      <c r="AY1112" s="83">
        <v>11200</v>
      </c>
      <c r="AZ1112" s="83">
        <v>14600</v>
      </c>
      <c r="BA1112" s="83" t="s">
        <v>1015</v>
      </c>
      <c r="BB1112" s="83">
        <v>2200</v>
      </c>
      <c r="BC1112" s="83">
        <v>4100</v>
      </c>
      <c r="BM1112" s="26"/>
      <c r="FA1112" s="83" t="s">
        <v>927</v>
      </c>
      <c r="FC1112" s="83">
        <v>53</v>
      </c>
    </row>
    <row r="1113" spans="1:159" s="83" customFormat="1" x14ac:dyDescent="0.25">
      <c r="A1113" s="83">
        <v>53</v>
      </c>
      <c r="B1113" s="83" t="s">
        <v>915</v>
      </c>
      <c r="C1113" s="83" t="s">
        <v>916</v>
      </c>
      <c r="D1113" s="83">
        <v>2006</v>
      </c>
      <c r="E1113" s="83">
        <v>2001</v>
      </c>
      <c r="F1113" s="83" t="s">
        <v>917</v>
      </c>
      <c r="G1113" s="83" t="s">
        <v>918</v>
      </c>
      <c r="H1113" s="83">
        <v>33.950000000000003</v>
      </c>
      <c r="I1113" s="83">
        <v>-83.38</v>
      </c>
      <c r="J1113" s="83">
        <v>208.4</v>
      </c>
      <c r="M1113" s="83">
        <f t="shared" si="251"/>
        <v>748</v>
      </c>
      <c r="N1113" s="83">
        <f t="shared" si="247"/>
        <v>1233</v>
      </c>
      <c r="P1113" s="84" t="s">
        <v>180</v>
      </c>
      <c r="Q1113" s="84"/>
      <c r="R1113" s="84"/>
      <c r="S1113" s="84" t="s">
        <v>1654</v>
      </c>
      <c r="T1113" s="84" t="s">
        <v>1654</v>
      </c>
      <c r="V1113" s="83">
        <f t="shared" si="245"/>
        <v>65</v>
      </c>
      <c r="W1113" s="83">
        <f>25</f>
        <v>25</v>
      </c>
      <c r="X1113" s="83" t="s">
        <v>298</v>
      </c>
      <c r="Y1113" s="83">
        <v>6.6</v>
      </c>
      <c r="Z1113" s="83">
        <v>0.88</v>
      </c>
      <c r="AB1113" s="26" t="s">
        <v>1582</v>
      </c>
      <c r="AC1113" s="83" t="s">
        <v>166</v>
      </c>
      <c r="AD1113" s="153" t="str">
        <f t="shared" si="244"/>
        <v>Rye</v>
      </c>
      <c r="AE1113" s="83" t="s">
        <v>277</v>
      </c>
      <c r="AG1113" s="83" t="s">
        <v>926</v>
      </c>
      <c r="AH1113" s="83" t="s">
        <v>926</v>
      </c>
      <c r="AI1113" s="83" t="s">
        <v>230</v>
      </c>
      <c r="AJ1113" s="83" t="s">
        <v>203</v>
      </c>
      <c r="AK1113" s="83" t="s">
        <v>203</v>
      </c>
      <c r="AL1113" s="83" t="s">
        <v>230</v>
      </c>
      <c r="AM1113" s="83" t="s">
        <v>925</v>
      </c>
      <c r="AN1113" s="83" t="s">
        <v>925</v>
      </c>
      <c r="AO1113" s="83" t="s">
        <v>230</v>
      </c>
      <c r="AP1113" s="83" t="s">
        <v>154</v>
      </c>
      <c r="AQ1113" s="83">
        <v>3</v>
      </c>
      <c r="AR1113" s="83">
        <v>3</v>
      </c>
      <c r="AS1113" s="83" t="s">
        <v>404</v>
      </c>
      <c r="AU1113" s="83">
        <v>5980</v>
      </c>
      <c r="AV1113" s="83">
        <v>32</v>
      </c>
      <c r="AY1113" s="83">
        <v>14300</v>
      </c>
      <c r="AZ1113" s="83">
        <v>11700</v>
      </c>
      <c r="BA1113" s="83" t="s">
        <v>1015</v>
      </c>
      <c r="BB1113" s="83">
        <v>3400</v>
      </c>
      <c r="BC1113" s="83">
        <v>3300</v>
      </c>
      <c r="BM1113" s="26"/>
      <c r="FA1113" s="83" t="s">
        <v>927</v>
      </c>
      <c r="FC1113" s="83">
        <v>53</v>
      </c>
    </row>
    <row r="1114" spans="1:159" s="83" customFormat="1" x14ac:dyDescent="0.25">
      <c r="A1114" s="83">
        <v>53</v>
      </c>
      <c r="B1114" s="83" t="s">
        <v>915</v>
      </c>
      <c r="C1114" s="83" t="s">
        <v>916</v>
      </c>
      <c r="D1114" s="83">
        <v>2006</v>
      </c>
      <c r="E1114" s="83">
        <v>2001</v>
      </c>
      <c r="F1114" s="83" t="s">
        <v>917</v>
      </c>
      <c r="G1114" s="83" t="s">
        <v>918</v>
      </c>
      <c r="H1114" s="83">
        <v>33.950000000000003</v>
      </c>
      <c r="I1114" s="83">
        <v>-83.38</v>
      </c>
      <c r="J1114" s="83">
        <v>208.4</v>
      </c>
      <c r="M1114" s="83">
        <f t="shared" si="251"/>
        <v>748</v>
      </c>
      <c r="N1114" s="83">
        <f t="shared" si="247"/>
        <v>1233</v>
      </c>
      <c r="P1114" s="84" t="s">
        <v>180</v>
      </c>
      <c r="Q1114" s="84"/>
      <c r="R1114" s="84"/>
      <c r="S1114" s="84" t="s">
        <v>1654</v>
      </c>
      <c r="T1114" s="84" t="s">
        <v>1654</v>
      </c>
      <c r="V1114" s="83">
        <f t="shared" si="245"/>
        <v>65</v>
      </c>
      <c r="W1114" s="83">
        <f>25</f>
        <v>25</v>
      </c>
      <c r="X1114" s="83" t="s">
        <v>298</v>
      </c>
      <c r="Y1114" s="83">
        <v>6.6</v>
      </c>
      <c r="Z1114" s="83">
        <v>0.88</v>
      </c>
      <c r="AB1114" s="26" t="s">
        <v>1582</v>
      </c>
      <c r="AC1114" s="83" t="s">
        <v>301</v>
      </c>
      <c r="AD1114" s="153" t="str">
        <f t="shared" si="244"/>
        <v>Vetch</v>
      </c>
      <c r="AE1114" s="83" t="s">
        <v>277</v>
      </c>
      <c r="AG1114" s="83" t="s">
        <v>926</v>
      </c>
      <c r="AH1114" s="83" t="s">
        <v>926</v>
      </c>
      <c r="AI1114" s="83" t="s">
        <v>230</v>
      </c>
      <c r="AJ1114" s="83" t="s">
        <v>203</v>
      </c>
      <c r="AK1114" s="83" t="s">
        <v>203</v>
      </c>
      <c r="AL1114" s="83" t="s">
        <v>230</v>
      </c>
      <c r="AM1114" s="83" t="s">
        <v>925</v>
      </c>
      <c r="AN1114" s="83" t="s">
        <v>925</v>
      </c>
      <c r="AO1114" s="83" t="s">
        <v>230</v>
      </c>
      <c r="AP1114" s="83" t="s">
        <v>154</v>
      </c>
      <c r="AQ1114" s="83">
        <v>3</v>
      </c>
      <c r="AR1114" s="83">
        <v>3</v>
      </c>
      <c r="AS1114" s="83" t="s">
        <v>404</v>
      </c>
      <c r="AU1114" s="83">
        <v>5980</v>
      </c>
      <c r="AV1114" s="83">
        <v>32</v>
      </c>
      <c r="AY1114" s="83">
        <v>14300</v>
      </c>
      <c r="AZ1114" s="83">
        <v>13200</v>
      </c>
      <c r="BA1114" s="83" t="s">
        <v>1015</v>
      </c>
      <c r="BB1114" s="83">
        <v>3400</v>
      </c>
      <c r="BC1114" s="83">
        <v>3600</v>
      </c>
      <c r="BM1114" s="26"/>
      <c r="FA1114" s="83" t="s">
        <v>927</v>
      </c>
      <c r="FC1114" s="83">
        <v>53</v>
      </c>
    </row>
    <row r="1115" spans="1:159" s="83" customFormat="1" x14ac:dyDescent="0.25">
      <c r="A1115" s="83">
        <v>53</v>
      </c>
      <c r="B1115" s="83" t="s">
        <v>915</v>
      </c>
      <c r="C1115" s="83" t="s">
        <v>916</v>
      </c>
      <c r="D1115" s="83">
        <v>2006</v>
      </c>
      <c r="E1115" s="83">
        <v>2001</v>
      </c>
      <c r="F1115" s="83" t="s">
        <v>917</v>
      </c>
      <c r="G1115" s="83" t="s">
        <v>918</v>
      </c>
      <c r="H1115" s="83">
        <v>33.950000000000003</v>
      </c>
      <c r="I1115" s="83">
        <v>-83.38</v>
      </c>
      <c r="J1115" s="83">
        <v>208.4</v>
      </c>
      <c r="M1115" s="83">
        <f t="shared" si="251"/>
        <v>748</v>
      </c>
      <c r="N1115" s="83">
        <f t="shared" si="247"/>
        <v>1233</v>
      </c>
      <c r="P1115" s="84" t="s">
        <v>180</v>
      </c>
      <c r="Q1115" s="84"/>
      <c r="R1115" s="84"/>
      <c r="S1115" s="84" t="s">
        <v>1654</v>
      </c>
      <c r="T1115" s="84" t="s">
        <v>1654</v>
      </c>
      <c r="V1115" s="83">
        <f t="shared" si="245"/>
        <v>65</v>
      </c>
      <c r="W1115" s="83">
        <f>25</f>
        <v>25</v>
      </c>
      <c r="X1115" s="83" t="s">
        <v>298</v>
      </c>
      <c r="Y1115" s="83">
        <v>6.6</v>
      </c>
      <c r="Z1115" s="83">
        <v>0.88</v>
      </c>
      <c r="AB1115" s="26" t="s">
        <v>1582</v>
      </c>
      <c r="AC1115" s="83" t="s">
        <v>1802</v>
      </c>
      <c r="AD1115" s="153" t="str">
        <f t="shared" si="244"/>
        <v>Rye/Vetch</v>
      </c>
      <c r="AE1115" s="83" t="s">
        <v>277</v>
      </c>
      <c r="AG1115" s="83" t="s">
        <v>926</v>
      </c>
      <c r="AH1115" s="83" t="s">
        <v>926</v>
      </c>
      <c r="AI1115" s="83" t="s">
        <v>230</v>
      </c>
      <c r="AJ1115" s="83" t="s">
        <v>203</v>
      </c>
      <c r="AK1115" s="83" t="s">
        <v>203</v>
      </c>
      <c r="AL1115" s="83" t="s">
        <v>230</v>
      </c>
      <c r="AM1115" s="83" t="s">
        <v>925</v>
      </c>
      <c r="AN1115" s="83" t="s">
        <v>925</v>
      </c>
      <c r="AO1115" s="83" t="s">
        <v>230</v>
      </c>
      <c r="AP1115" s="83" t="s">
        <v>154</v>
      </c>
      <c r="AQ1115" s="83">
        <v>3</v>
      </c>
      <c r="AR1115" s="83">
        <v>3</v>
      </c>
      <c r="AS1115" s="83" t="s">
        <v>404</v>
      </c>
      <c r="AU1115" s="83">
        <v>5980</v>
      </c>
      <c r="AV1115" s="83">
        <v>32</v>
      </c>
      <c r="AY1115" s="83">
        <v>14300</v>
      </c>
      <c r="AZ1115" s="83">
        <v>14100</v>
      </c>
      <c r="BA1115" s="83" t="s">
        <v>1015</v>
      </c>
      <c r="BB1115" s="83">
        <v>3400</v>
      </c>
      <c r="BC1115" s="83">
        <v>4400</v>
      </c>
      <c r="BM1115" s="26"/>
      <c r="FA1115" s="83" t="s">
        <v>927</v>
      </c>
      <c r="FC1115" s="83">
        <v>53</v>
      </c>
    </row>
    <row r="1116" spans="1:159" s="35" customFormat="1" x14ac:dyDescent="0.25">
      <c r="A1116" s="35">
        <v>53</v>
      </c>
      <c r="B1116" s="35" t="s">
        <v>915</v>
      </c>
      <c r="C1116" s="35" t="s">
        <v>916</v>
      </c>
      <c r="D1116" s="35">
        <v>2006</v>
      </c>
      <c r="E1116" s="35">
        <v>2002</v>
      </c>
      <c r="F1116" s="35" t="s">
        <v>917</v>
      </c>
      <c r="G1116" s="35" t="s">
        <v>918</v>
      </c>
      <c r="H1116" s="35">
        <v>33.950000000000003</v>
      </c>
      <c r="I1116" s="35">
        <v>-83.38</v>
      </c>
      <c r="J1116" s="35">
        <v>208.4</v>
      </c>
      <c r="M1116" s="35">
        <v>971</v>
      </c>
      <c r="N1116" s="35">
        <f t="shared" si="247"/>
        <v>1233</v>
      </c>
      <c r="P1116" s="54" t="s">
        <v>181</v>
      </c>
      <c r="Q1116" s="54"/>
      <c r="R1116" s="54"/>
      <c r="S1116" s="54" t="s">
        <v>1654</v>
      </c>
      <c r="T1116" s="54" t="s">
        <v>1654</v>
      </c>
      <c r="V1116" s="35">
        <f t="shared" si="245"/>
        <v>65</v>
      </c>
      <c r="W1116" s="35">
        <f>25</f>
        <v>25</v>
      </c>
      <c r="X1116" s="35" t="s">
        <v>298</v>
      </c>
      <c r="Y1116" s="35">
        <v>6.6</v>
      </c>
      <c r="Z1116" s="35">
        <v>0.88</v>
      </c>
      <c r="AB1116" s="35" t="s">
        <v>1582</v>
      </c>
      <c r="AC1116" s="35" t="s">
        <v>1802</v>
      </c>
      <c r="AD1116" s="153" t="str">
        <f t="shared" si="244"/>
        <v>Rye/Vetch</v>
      </c>
      <c r="AE1116" s="35" t="s">
        <v>709</v>
      </c>
      <c r="AG1116" s="35" t="s">
        <v>926</v>
      </c>
      <c r="AH1116" s="35" t="s">
        <v>926</v>
      </c>
      <c r="AI1116" s="35" t="s">
        <v>230</v>
      </c>
      <c r="AJ1116" s="35" t="s">
        <v>203</v>
      </c>
      <c r="AK1116" s="35" t="s">
        <v>203</v>
      </c>
      <c r="AL1116" s="35" t="s">
        <v>230</v>
      </c>
      <c r="AM1116" s="35" t="s">
        <v>407</v>
      </c>
      <c r="AN1116" s="35" t="s">
        <v>407</v>
      </c>
      <c r="AO1116" s="35" t="s">
        <v>230</v>
      </c>
      <c r="AP1116" s="35" t="s">
        <v>154</v>
      </c>
      <c r="AQ1116" s="35">
        <v>3</v>
      </c>
      <c r="AR1116" s="35">
        <v>3</v>
      </c>
      <c r="AS1116" s="35" t="s">
        <v>404</v>
      </c>
      <c r="AU1116" s="35">
        <v>2280</v>
      </c>
      <c r="AV1116" s="35">
        <v>40</v>
      </c>
      <c r="BB1116" s="35">
        <v>814</v>
      </c>
      <c r="BC1116" s="35">
        <v>692</v>
      </c>
      <c r="DA1116" s="35">
        <v>11</v>
      </c>
      <c r="DB1116" s="35">
        <v>14</v>
      </c>
      <c r="DC1116" s="35" t="s">
        <v>923</v>
      </c>
      <c r="FA1116" s="35" t="s">
        <v>927</v>
      </c>
      <c r="FC1116" s="35">
        <v>53</v>
      </c>
    </row>
    <row r="1117" spans="1:159" s="35" customFormat="1" x14ac:dyDescent="0.25">
      <c r="A1117" s="35">
        <v>53</v>
      </c>
      <c r="B1117" s="35" t="s">
        <v>915</v>
      </c>
      <c r="C1117" s="35" t="s">
        <v>916</v>
      </c>
      <c r="D1117" s="35">
        <v>2006</v>
      </c>
      <c r="E1117" s="35">
        <v>2002</v>
      </c>
      <c r="F1117" s="35" t="s">
        <v>917</v>
      </c>
      <c r="G1117" s="35" t="s">
        <v>918</v>
      </c>
      <c r="H1117" s="35">
        <v>33.950000000000003</v>
      </c>
      <c r="I1117" s="35">
        <v>-83.38</v>
      </c>
      <c r="J1117" s="35">
        <v>208.4</v>
      </c>
      <c r="M1117" s="35">
        <v>971</v>
      </c>
      <c r="N1117" s="35">
        <f t="shared" si="247"/>
        <v>1233</v>
      </c>
      <c r="P1117" s="54" t="s">
        <v>181</v>
      </c>
      <c r="Q1117" s="54"/>
      <c r="R1117" s="54"/>
      <c r="S1117" s="54" t="s">
        <v>1654</v>
      </c>
      <c r="T1117" s="54" t="s">
        <v>1654</v>
      </c>
      <c r="V1117" s="35">
        <f t="shared" si="245"/>
        <v>65</v>
      </c>
      <c r="W1117" s="35">
        <f>25</f>
        <v>25</v>
      </c>
      <c r="X1117" s="35" t="s">
        <v>298</v>
      </c>
      <c r="Y1117" s="35">
        <v>6.6</v>
      </c>
      <c r="Z1117" s="35">
        <v>0.88</v>
      </c>
      <c r="AB1117" s="35" t="s">
        <v>1582</v>
      </c>
      <c r="AC1117" s="35" t="s">
        <v>1802</v>
      </c>
      <c r="AD1117" s="153" t="str">
        <f t="shared" si="244"/>
        <v>Rye/Vetch</v>
      </c>
      <c r="AE1117" s="35" t="s">
        <v>709</v>
      </c>
      <c r="AG1117" s="35" t="s">
        <v>926</v>
      </c>
      <c r="AH1117" s="35" t="s">
        <v>926</v>
      </c>
      <c r="AI1117" s="35" t="s">
        <v>230</v>
      </c>
      <c r="AJ1117" s="35" t="s">
        <v>919</v>
      </c>
      <c r="AK1117" s="35" t="s">
        <v>919</v>
      </c>
      <c r="AL1117" s="35" t="s">
        <v>230</v>
      </c>
      <c r="AM1117" s="35" t="s">
        <v>407</v>
      </c>
      <c r="AN1117" s="35" t="s">
        <v>407</v>
      </c>
      <c r="AO1117" s="35" t="s">
        <v>230</v>
      </c>
      <c r="AP1117" s="35" t="s">
        <v>154</v>
      </c>
      <c r="AQ1117" s="35">
        <v>3</v>
      </c>
      <c r="AR1117" s="35">
        <v>3</v>
      </c>
      <c r="AS1117" s="35" t="s">
        <v>404</v>
      </c>
      <c r="AU1117" s="35">
        <v>2280</v>
      </c>
      <c r="AV1117" s="35">
        <v>40</v>
      </c>
      <c r="BB1117" s="35">
        <v>480</v>
      </c>
      <c r="BC1117" s="35">
        <v>826</v>
      </c>
      <c r="DA1117" s="35">
        <v>8</v>
      </c>
      <c r="DB1117" s="35">
        <v>14</v>
      </c>
      <c r="DC1117" s="35" t="s">
        <v>923</v>
      </c>
      <c r="FA1117" s="35" t="s">
        <v>927</v>
      </c>
      <c r="FC1117" s="35">
        <v>53</v>
      </c>
    </row>
    <row r="1118" spans="1:159" s="35" customFormat="1" x14ac:dyDescent="0.25">
      <c r="A1118" s="35">
        <v>53</v>
      </c>
      <c r="B1118" s="35" t="s">
        <v>915</v>
      </c>
      <c r="C1118" s="35" t="s">
        <v>916</v>
      </c>
      <c r="D1118" s="35">
        <v>2006</v>
      </c>
      <c r="E1118" s="35">
        <v>2002</v>
      </c>
      <c r="F1118" s="35" t="s">
        <v>917</v>
      </c>
      <c r="G1118" s="35" t="s">
        <v>918</v>
      </c>
      <c r="H1118" s="35">
        <v>33.950000000000003</v>
      </c>
      <c r="I1118" s="35">
        <v>-83.38</v>
      </c>
      <c r="J1118" s="35">
        <v>208.4</v>
      </c>
      <c r="M1118" s="35">
        <v>971</v>
      </c>
      <c r="N1118" s="35">
        <f t="shared" si="247"/>
        <v>1233</v>
      </c>
      <c r="P1118" s="54" t="s">
        <v>181</v>
      </c>
      <c r="Q1118" s="54"/>
      <c r="R1118" s="54"/>
      <c r="S1118" s="54" t="s">
        <v>1654</v>
      </c>
      <c r="T1118" s="54" t="s">
        <v>1654</v>
      </c>
      <c r="V1118" s="35">
        <f t="shared" si="245"/>
        <v>65</v>
      </c>
      <c r="W1118" s="35">
        <f>25</f>
        <v>25</v>
      </c>
      <c r="X1118" s="35" t="s">
        <v>298</v>
      </c>
      <c r="Y1118" s="35">
        <v>6.6</v>
      </c>
      <c r="Z1118" s="35">
        <v>0.88</v>
      </c>
      <c r="AB1118" s="35" t="s">
        <v>1582</v>
      </c>
      <c r="AC1118" s="35" t="s">
        <v>1802</v>
      </c>
      <c r="AD1118" s="153" t="str">
        <f t="shared" si="244"/>
        <v>Rye/Vetch</v>
      </c>
      <c r="AE1118" s="35" t="s">
        <v>709</v>
      </c>
      <c r="AG1118" s="35" t="s">
        <v>926</v>
      </c>
      <c r="AH1118" s="35" t="s">
        <v>926</v>
      </c>
      <c r="AI1118" s="35" t="s">
        <v>230</v>
      </c>
      <c r="AJ1118" s="35" t="s">
        <v>920</v>
      </c>
      <c r="AK1118" s="35" t="s">
        <v>920</v>
      </c>
      <c r="AL1118" s="35" t="s">
        <v>230</v>
      </c>
      <c r="AM1118" s="35" t="s">
        <v>407</v>
      </c>
      <c r="AN1118" s="35" t="s">
        <v>407</v>
      </c>
      <c r="AO1118" s="35" t="s">
        <v>230</v>
      </c>
      <c r="AP1118" s="35" t="s">
        <v>154</v>
      </c>
      <c r="AQ1118" s="35">
        <v>3</v>
      </c>
      <c r="AR1118" s="35">
        <v>3</v>
      </c>
      <c r="AS1118" s="35" t="s">
        <v>404</v>
      </c>
      <c r="AU1118" s="35">
        <v>2280</v>
      </c>
      <c r="AV1118" s="35">
        <v>40</v>
      </c>
      <c r="BB1118" s="35">
        <v>802</v>
      </c>
      <c r="BC1118" s="35">
        <v>1546</v>
      </c>
      <c r="DA1118" s="35">
        <v>14</v>
      </c>
      <c r="DB1118" s="35">
        <v>22</v>
      </c>
      <c r="DC1118" s="35" t="s">
        <v>923</v>
      </c>
      <c r="FA1118" s="35" t="s">
        <v>927</v>
      </c>
      <c r="FC1118" s="35">
        <v>53</v>
      </c>
    </row>
    <row r="1119" spans="1:159" s="35" customFormat="1" x14ac:dyDescent="0.25">
      <c r="A1119" s="35">
        <v>53</v>
      </c>
      <c r="B1119" s="35" t="s">
        <v>915</v>
      </c>
      <c r="C1119" s="35" t="s">
        <v>916</v>
      </c>
      <c r="D1119" s="35">
        <v>2006</v>
      </c>
      <c r="E1119" s="35">
        <v>2002</v>
      </c>
      <c r="F1119" s="35" t="s">
        <v>917</v>
      </c>
      <c r="G1119" s="35" t="s">
        <v>918</v>
      </c>
      <c r="H1119" s="35">
        <v>33.950000000000003</v>
      </c>
      <c r="I1119" s="35">
        <v>-83.38</v>
      </c>
      <c r="J1119" s="35">
        <v>208.4</v>
      </c>
      <c r="M1119" s="35">
        <v>971</v>
      </c>
      <c r="N1119" s="35">
        <f t="shared" si="247"/>
        <v>1233</v>
      </c>
      <c r="P1119" s="54" t="s">
        <v>181</v>
      </c>
      <c r="Q1119" s="54"/>
      <c r="R1119" s="54"/>
      <c r="S1119" s="54" t="s">
        <v>1654</v>
      </c>
      <c r="T1119" s="54" t="s">
        <v>1654</v>
      </c>
      <c r="V1119" s="35">
        <f t="shared" si="245"/>
        <v>65</v>
      </c>
      <c r="W1119" s="35">
        <f>25</f>
        <v>25</v>
      </c>
      <c r="X1119" s="35" t="s">
        <v>298</v>
      </c>
      <c r="Y1119" s="35">
        <v>6.6</v>
      </c>
      <c r="Z1119" s="35">
        <v>0.88</v>
      </c>
      <c r="AB1119" s="35" t="s">
        <v>1582</v>
      </c>
      <c r="AC1119" s="35" t="s">
        <v>1802</v>
      </c>
      <c r="AD1119" s="153" t="str">
        <f t="shared" si="244"/>
        <v>Rye/Vetch</v>
      </c>
      <c r="AE1119" s="35" t="s">
        <v>709</v>
      </c>
      <c r="AG1119" s="35" t="s">
        <v>926</v>
      </c>
      <c r="AH1119" s="35" t="s">
        <v>926</v>
      </c>
      <c r="AI1119" s="35" t="s">
        <v>230</v>
      </c>
      <c r="AJ1119" s="35" t="s">
        <v>203</v>
      </c>
      <c r="AK1119" s="35" t="s">
        <v>203</v>
      </c>
      <c r="AL1119" s="35" t="s">
        <v>230</v>
      </c>
      <c r="AM1119" s="35" t="s">
        <v>921</v>
      </c>
      <c r="AN1119" s="35" t="s">
        <v>921</v>
      </c>
      <c r="AO1119" s="35" t="s">
        <v>230</v>
      </c>
      <c r="AP1119" s="35" t="s">
        <v>154</v>
      </c>
      <c r="AQ1119" s="35">
        <v>3</v>
      </c>
      <c r="AR1119" s="35">
        <v>3</v>
      </c>
      <c r="AS1119" s="35" t="s">
        <v>404</v>
      </c>
      <c r="AU1119" s="35">
        <v>5160</v>
      </c>
      <c r="AV1119" s="35">
        <v>10</v>
      </c>
      <c r="BB1119" s="35">
        <v>814</v>
      </c>
      <c r="BC1119" s="35">
        <v>640</v>
      </c>
      <c r="DA1119" s="35">
        <v>11</v>
      </c>
      <c r="DB1119" s="35">
        <v>12</v>
      </c>
      <c r="DC1119" s="35" t="s">
        <v>923</v>
      </c>
      <c r="FA1119" s="35" t="s">
        <v>927</v>
      </c>
      <c r="FC1119" s="35">
        <v>53</v>
      </c>
    </row>
    <row r="1120" spans="1:159" s="35" customFormat="1" x14ac:dyDescent="0.25">
      <c r="A1120" s="35">
        <v>53</v>
      </c>
      <c r="B1120" s="35" t="s">
        <v>915</v>
      </c>
      <c r="C1120" s="35" t="s">
        <v>916</v>
      </c>
      <c r="D1120" s="35">
        <v>2006</v>
      </c>
      <c r="E1120" s="35">
        <v>2002</v>
      </c>
      <c r="F1120" s="35" t="s">
        <v>917</v>
      </c>
      <c r="G1120" s="35" t="s">
        <v>918</v>
      </c>
      <c r="H1120" s="35">
        <v>33.950000000000003</v>
      </c>
      <c r="I1120" s="35">
        <v>-83.38</v>
      </c>
      <c r="J1120" s="35">
        <v>208.4</v>
      </c>
      <c r="M1120" s="35">
        <v>971</v>
      </c>
      <c r="N1120" s="35">
        <f t="shared" si="247"/>
        <v>1233</v>
      </c>
      <c r="P1120" s="54" t="s">
        <v>181</v>
      </c>
      <c r="Q1120" s="54"/>
      <c r="R1120" s="54"/>
      <c r="S1120" s="54" t="s">
        <v>1654</v>
      </c>
      <c r="T1120" s="54" t="s">
        <v>1654</v>
      </c>
      <c r="V1120" s="35">
        <f t="shared" si="245"/>
        <v>65</v>
      </c>
      <c r="W1120" s="35">
        <f>25</f>
        <v>25</v>
      </c>
      <c r="X1120" s="35" t="s">
        <v>298</v>
      </c>
      <c r="Y1120" s="35">
        <v>6.6</v>
      </c>
      <c r="Z1120" s="35">
        <v>0.88</v>
      </c>
      <c r="AB1120" s="35" t="s">
        <v>1582</v>
      </c>
      <c r="AC1120" s="35" t="s">
        <v>1802</v>
      </c>
      <c r="AD1120" s="153" t="str">
        <f t="shared" si="244"/>
        <v>Rye/Vetch</v>
      </c>
      <c r="AE1120" s="35" t="s">
        <v>709</v>
      </c>
      <c r="AG1120" s="35" t="s">
        <v>926</v>
      </c>
      <c r="AH1120" s="35" t="s">
        <v>926</v>
      </c>
      <c r="AI1120" s="35" t="s">
        <v>230</v>
      </c>
      <c r="AJ1120" s="35" t="s">
        <v>919</v>
      </c>
      <c r="AK1120" s="35" t="s">
        <v>919</v>
      </c>
      <c r="AL1120" s="35" t="s">
        <v>230</v>
      </c>
      <c r="AM1120" s="35" t="s">
        <v>921</v>
      </c>
      <c r="AN1120" s="35" t="s">
        <v>921</v>
      </c>
      <c r="AO1120" s="35" t="s">
        <v>230</v>
      </c>
      <c r="AP1120" s="35" t="s">
        <v>154</v>
      </c>
      <c r="AQ1120" s="35">
        <v>3</v>
      </c>
      <c r="AR1120" s="35">
        <v>3</v>
      </c>
      <c r="AS1120" s="35" t="s">
        <v>404</v>
      </c>
      <c r="AU1120" s="35">
        <v>5160</v>
      </c>
      <c r="AV1120" s="35">
        <v>10</v>
      </c>
      <c r="BB1120" s="35">
        <v>480</v>
      </c>
      <c r="BC1120" s="35">
        <v>774</v>
      </c>
      <c r="DA1120" s="35">
        <v>8</v>
      </c>
      <c r="DB1120" s="35">
        <v>13</v>
      </c>
      <c r="DC1120" s="35" t="s">
        <v>923</v>
      </c>
      <c r="FA1120" s="35" t="s">
        <v>927</v>
      </c>
      <c r="FC1120" s="35">
        <v>53</v>
      </c>
    </row>
    <row r="1121" spans="1:159" s="35" customFormat="1" x14ac:dyDescent="0.25">
      <c r="A1121" s="35">
        <v>53</v>
      </c>
      <c r="B1121" s="35" t="s">
        <v>915</v>
      </c>
      <c r="C1121" s="35" t="s">
        <v>916</v>
      </c>
      <c r="D1121" s="35">
        <v>2006</v>
      </c>
      <c r="E1121" s="35">
        <v>2002</v>
      </c>
      <c r="F1121" s="35" t="s">
        <v>917</v>
      </c>
      <c r="G1121" s="35" t="s">
        <v>918</v>
      </c>
      <c r="H1121" s="35">
        <v>33.950000000000003</v>
      </c>
      <c r="I1121" s="35">
        <v>-83.38</v>
      </c>
      <c r="J1121" s="35">
        <v>208.4</v>
      </c>
      <c r="M1121" s="35">
        <v>971</v>
      </c>
      <c r="N1121" s="35">
        <f t="shared" si="247"/>
        <v>1233</v>
      </c>
      <c r="P1121" s="54" t="s">
        <v>181</v>
      </c>
      <c r="Q1121" s="54"/>
      <c r="R1121" s="54"/>
      <c r="S1121" s="54" t="s">
        <v>1654</v>
      </c>
      <c r="T1121" s="54" t="s">
        <v>1654</v>
      </c>
      <c r="V1121" s="35">
        <f t="shared" si="245"/>
        <v>65</v>
      </c>
      <c r="W1121" s="35">
        <f>25</f>
        <v>25</v>
      </c>
      <c r="X1121" s="35" t="s">
        <v>298</v>
      </c>
      <c r="Y1121" s="35">
        <v>6.6</v>
      </c>
      <c r="Z1121" s="35">
        <v>0.88</v>
      </c>
      <c r="AB1121" s="35" t="s">
        <v>1582</v>
      </c>
      <c r="AC1121" s="35" t="s">
        <v>1802</v>
      </c>
      <c r="AD1121" s="153" t="str">
        <f t="shared" si="244"/>
        <v>Rye/Vetch</v>
      </c>
      <c r="AE1121" s="35" t="s">
        <v>709</v>
      </c>
      <c r="AG1121" s="35" t="s">
        <v>926</v>
      </c>
      <c r="AH1121" s="35" t="s">
        <v>926</v>
      </c>
      <c r="AI1121" s="35" t="s">
        <v>230</v>
      </c>
      <c r="AJ1121" s="35" t="s">
        <v>920</v>
      </c>
      <c r="AK1121" s="35" t="s">
        <v>920</v>
      </c>
      <c r="AL1121" s="35" t="s">
        <v>230</v>
      </c>
      <c r="AM1121" s="35" t="s">
        <v>921</v>
      </c>
      <c r="AN1121" s="35" t="s">
        <v>921</v>
      </c>
      <c r="AO1121" s="35" t="s">
        <v>230</v>
      </c>
      <c r="AP1121" s="35" t="s">
        <v>154</v>
      </c>
      <c r="AQ1121" s="35">
        <v>3</v>
      </c>
      <c r="AR1121" s="35">
        <v>3</v>
      </c>
      <c r="AS1121" s="35" t="s">
        <v>404</v>
      </c>
      <c r="AU1121" s="35">
        <v>5160</v>
      </c>
      <c r="AV1121" s="35">
        <v>10</v>
      </c>
      <c r="BB1121" s="35">
        <v>802</v>
      </c>
      <c r="BC1121" s="35">
        <v>1525</v>
      </c>
      <c r="DA1121" s="35">
        <v>14</v>
      </c>
      <c r="DB1121" s="35">
        <v>22</v>
      </c>
      <c r="DC1121" s="35" t="s">
        <v>923</v>
      </c>
      <c r="FA1121" s="35" t="s">
        <v>927</v>
      </c>
      <c r="FC1121" s="35">
        <v>53</v>
      </c>
    </row>
    <row r="1122" spans="1:159" s="35" customFormat="1" x14ac:dyDescent="0.25">
      <c r="A1122" s="35">
        <v>53</v>
      </c>
      <c r="B1122" s="35" t="s">
        <v>915</v>
      </c>
      <c r="C1122" s="35" t="s">
        <v>916</v>
      </c>
      <c r="D1122" s="35">
        <v>2006</v>
      </c>
      <c r="E1122" s="35">
        <v>2002</v>
      </c>
      <c r="F1122" s="35" t="s">
        <v>917</v>
      </c>
      <c r="G1122" s="35" t="s">
        <v>918</v>
      </c>
      <c r="H1122" s="35">
        <v>33.950000000000003</v>
      </c>
      <c r="I1122" s="35">
        <v>-83.38</v>
      </c>
      <c r="J1122" s="35">
        <v>208.4</v>
      </c>
      <c r="M1122" s="35">
        <v>971</v>
      </c>
      <c r="N1122" s="35">
        <f t="shared" si="247"/>
        <v>1233</v>
      </c>
      <c r="P1122" s="54" t="s">
        <v>181</v>
      </c>
      <c r="Q1122" s="54"/>
      <c r="R1122" s="54"/>
      <c r="S1122" s="54" t="s">
        <v>1654</v>
      </c>
      <c r="T1122" s="54" t="s">
        <v>1654</v>
      </c>
      <c r="V1122" s="35">
        <f t="shared" si="245"/>
        <v>65</v>
      </c>
      <c r="W1122" s="35">
        <f>25</f>
        <v>25</v>
      </c>
      <c r="X1122" s="35" t="s">
        <v>298</v>
      </c>
      <c r="Y1122" s="35">
        <v>6.6</v>
      </c>
      <c r="Z1122" s="35">
        <v>0.88</v>
      </c>
      <c r="AB1122" s="35" t="s">
        <v>1582</v>
      </c>
      <c r="AC1122" s="35" t="s">
        <v>1802</v>
      </c>
      <c r="AD1122" s="153" t="str">
        <f t="shared" si="244"/>
        <v>Rye/Vetch</v>
      </c>
      <c r="AE1122" s="35" t="s">
        <v>709</v>
      </c>
      <c r="AG1122" s="35" t="s">
        <v>926</v>
      </c>
      <c r="AH1122" s="35" t="s">
        <v>926</v>
      </c>
      <c r="AI1122" s="35" t="s">
        <v>230</v>
      </c>
      <c r="AJ1122" s="35" t="s">
        <v>203</v>
      </c>
      <c r="AK1122" s="35" t="s">
        <v>203</v>
      </c>
      <c r="AL1122" s="35" t="s">
        <v>230</v>
      </c>
      <c r="AM1122" s="35" t="s">
        <v>922</v>
      </c>
      <c r="AN1122" s="35" t="s">
        <v>922</v>
      </c>
      <c r="AO1122" s="35" t="s">
        <v>230</v>
      </c>
      <c r="AP1122" s="35" t="s">
        <v>154</v>
      </c>
      <c r="AQ1122" s="35">
        <v>3</v>
      </c>
      <c r="AR1122" s="35">
        <v>3</v>
      </c>
      <c r="AS1122" s="35" t="s">
        <v>404</v>
      </c>
      <c r="AU1122" s="35">
        <v>5720</v>
      </c>
      <c r="AV1122" s="35">
        <v>11</v>
      </c>
      <c r="BB1122" s="35">
        <v>814</v>
      </c>
      <c r="BC1122" s="35">
        <v>509</v>
      </c>
      <c r="DA1122" s="35">
        <v>11</v>
      </c>
      <c r="DB1122" s="35">
        <v>12</v>
      </c>
      <c r="DC1122" s="35" t="s">
        <v>923</v>
      </c>
      <c r="FA1122" s="35" t="s">
        <v>927</v>
      </c>
      <c r="FC1122" s="35">
        <v>53</v>
      </c>
    </row>
    <row r="1123" spans="1:159" s="35" customFormat="1" x14ac:dyDescent="0.25">
      <c r="A1123" s="35">
        <v>53</v>
      </c>
      <c r="B1123" s="35" t="s">
        <v>915</v>
      </c>
      <c r="C1123" s="35" t="s">
        <v>916</v>
      </c>
      <c r="D1123" s="35">
        <v>2006</v>
      </c>
      <c r="E1123" s="35">
        <v>2002</v>
      </c>
      <c r="F1123" s="35" t="s">
        <v>917</v>
      </c>
      <c r="G1123" s="35" t="s">
        <v>918</v>
      </c>
      <c r="H1123" s="35">
        <v>33.950000000000003</v>
      </c>
      <c r="I1123" s="35">
        <v>-83.38</v>
      </c>
      <c r="J1123" s="35">
        <v>208.4</v>
      </c>
      <c r="M1123" s="35">
        <v>971</v>
      </c>
      <c r="N1123" s="35">
        <f t="shared" si="247"/>
        <v>1233</v>
      </c>
      <c r="P1123" s="54" t="s">
        <v>181</v>
      </c>
      <c r="Q1123" s="54"/>
      <c r="R1123" s="54"/>
      <c r="S1123" s="54" t="s">
        <v>1654</v>
      </c>
      <c r="T1123" s="54" t="s">
        <v>1654</v>
      </c>
      <c r="V1123" s="35">
        <f t="shared" si="245"/>
        <v>65</v>
      </c>
      <c r="W1123" s="35">
        <f>25</f>
        <v>25</v>
      </c>
      <c r="X1123" s="35" t="s">
        <v>298</v>
      </c>
      <c r="Y1123" s="35">
        <v>6.6</v>
      </c>
      <c r="Z1123" s="35">
        <v>0.88</v>
      </c>
      <c r="AB1123" s="35" t="s">
        <v>1582</v>
      </c>
      <c r="AC1123" s="35" t="s">
        <v>1802</v>
      </c>
      <c r="AD1123" s="153" t="str">
        <f t="shared" si="244"/>
        <v>Rye/Vetch</v>
      </c>
      <c r="AE1123" s="35" t="s">
        <v>709</v>
      </c>
      <c r="AG1123" s="35" t="s">
        <v>926</v>
      </c>
      <c r="AH1123" s="35" t="s">
        <v>926</v>
      </c>
      <c r="AI1123" s="35" t="s">
        <v>230</v>
      </c>
      <c r="AJ1123" s="35" t="s">
        <v>919</v>
      </c>
      <c r="AK1123" s="35" t="s">
        <v>919</v>
      </c>
      <c r="AL1123" s="35" t="s">
        <v>230</v>
      </c>
      <c r="AM1123" s="35" t="s">
        <v>922</v>
      </c>
      <c r="AN1123" s="35" t="s">
        <v>922</v>
      </c>
      <c r="AO1123" s="35" t="s">
        <v>230</v>
      </c>
      <c r="AP1123" s="35" t="s">
        <v>154</v>
      </c>
      <c r="AQ1123" s="35">
        <v>3</v>
      </c>
      <c r="AR1123" s="35">
        <v>3</v>
      </c>
      <c r="AS1123" s="35" t="s">
        <v>404</v>
      </c>
      <c r="AU1123" s="35">
        <v>5720</v>
      </c>
      <c r="AV1123" s="35">
        <v>11</v>
      </c>
      <c r="BB1123" s="35">
        <v>480</v>
      </c>
      <c r="BC1123" s="35">
        <v>464</v>
      </c>
      <c r="DA1123" s="35">
        <v>8</v>
      </c>
      <c r="DB1123" s="35">
        <v>10</v>
      </c>
      <c r="DC1123" s="35" t="s">
        <v>923</v>
      </c>
      <c r="FA1123" s="35" t="s">
        <v>927</v>
      </c>
      <c r="FC1123" s="35">
        <v>53</v>
      </c>
    </row>
    <row r="1124" spans="1:159" s="35" customFormat="1" x14ac:dyDescent="0.25">
      <c r="A1124" s="35">
        <v>53</v>
      </c>
      <c r="B1124" s="35" t="s">
        <v>915</v>
      </c>
      <c r="C1124" s="35" t="s">
        <v>916</v>
      </c>
      <c r="D1124" s="35">
        <v>2006</v>
      </c>
      <c r="E1124" s="35">
        <v>2002</v>
      </c>
      <c r="F1124" s="35" t="s">
        <v>917</v>
      </c>
      <c r="G1124" s="35" t="s">
        <v>918</v>
      </c>
      <c r="H1124" s="35">
        <v>33.950000000000003</v>
      </c>
      <c r="I1124" s="35">
        <v>-83.38</v>
      </c>
      <c r="J1124" s="35">
        <v>208.4</v>
      </c>
      <c r="M1124" s="35">
        <v>971</v>
      </c>
      <c r="N1124" s="35">
        <f t="shared" si="247"/>
        <v>1233</v>
      </c>
      <c r="P1124" s="54" t="s">
        <v>181</v>
      </c>
      <c r="Q1124" s="54"/>
      <c r="R1124" s="54"/>
      <c r="S1124" s="54" t="s">
        <v>1654</v>
      </c>
      <c r="T1124" s="54" t="s">
        <v>1654</v>
      </c>
      <c r="V1124" s="35">
        <f t="shared" ref="V1124:V1160" si="252">650/1000*100</f>
        <v>65</v>
      </c>
      <c r="W1124" s="35">
        <f>25</f>
        <v>25</v>
      </c>
      <c r="X1124" s="35" t="s">
        <v>298</v>
      </c>
      <c r="Y1124" s="35">
        <v>6.6</v>
      </c>
      <c r="Z1124" s="35">
        <v>0.88</v>
      </c>
      <c r="AB1124" s="35" t="s">
        <v>1582</v>
      </c>
      <c r="AC1124" s="35" t="s">
        <v>1802</v>
      </c>
      <c r="AD1124" s="153" t="str">
        <f t="shared" si="244"/>
        <v>Rye/Vetch</v>
      </c>
      <c r="AE1124" s="35" t="s">
        <v>709</v>
      </c>
      <c r="AG1124" s="35" t="s">
        <v>926</v>
      </c>
      <c r="AH1124" s="35" t="s">
        <v>926</v>
      </c>
      <c r="AI1124" s="35" t="s">
        <v>230</v>
      </c>
      <c r="AJ1124" s="35" t="s">
        <v>920</v>
      </c>
      <c r="AK1124" s="35" t="s">
        <v>920</v>
      </c>
      <c r="AL1124" s="35" t="s">
        <v>230</v>
      </c>
      <c r="AM1124" s="35" t="s">
        <v>922</v>
      </c>
      <c r="AN1124" s="35" t="s">
        <v>922</v>
      </c>
      <c r="AO1124" s="35" t="s">
        <v>230</v>
      </c>
      <c r="AP1124" s="35" t="s">
        <v>154</v>
      </c>
      <c r="AQ1124" s="35">
        <v>3</v>
      </c>
      <c r="AR1124" s="35">
        <v>3</v>
      </c>
      <c r="AS1124" s="35" t="s">
        <v>404</v>
      </c>
      <c r="AU1124" s="35">
        <v>5720</v>
      </c>
      <c r="AV1124" s="35">
        <v>11</v>
      </c>
      <c r="BB1124" s="35">
        <v>802</v>
      </c>
      <c r="BC1124" s="35">
        <v>787</v>
      </c>
      <c r="DA1124" s="35">
        <v>14</v>
      </c>
      <c r="DB1124" s="35">
        <v>12</v>
      </c>
      <c r="DC1124" s="35" t="s">
        <v>923</v>
      </c>
      <c r="FA1124" s="35" t="s">
        <v>927</v>
      </c>
      <c r="FC1124" s="35">
        <v>53</v>
      </c>
    </row>
    <row r="1125" spans="1:159" s="26" customFormat="1" x14ac:dyDescent="0.25">
      <c r="A1125" s="26">
        <v>53</v>
      </c>
      <c r="B1125" s="26" t="s">
        <v>915</v>
      </c>
      <c r="C1125" s="26" t="s">
        <v>916</v>
      </c>
      <c r="D1125" s="26">
        <v>2006</v>
      </c>
      <c r="E1125" s="26">
        <v>2000</v>
      </c>
      <c r="F1125" s="26" t="s">
        <v>917</v>
      </c>
      <c r="G1125" s="26" t="s">
        <v>918</v>
      </c>
      <c r="H1125" s="26">
        <v>33.950000000000003</v>
      </c>
      <c r="I1125" s="26">
        <v>-83.38</v>
      </c>
      <c r="J1125" s="26">
        <v>208.4</v>
      </c>
      <c r="M1125" s="26">
        <f>278+505</f>
        <v>783</v>
      </c>
      <c r="N1125" s="26">
        <f>588+645</f>
        <v>1233</v>
      </c>
      <c r="P1125" s="52" t="s">
        <v>179</v>
      </c>
      <c r="Q1125" s="52"/>
      <c r="R1125" s="52" t="s">
        <v>928</v>
      </c>
      <c r="S1125" s="52" t="s">
        <v>1653</v>
      </c>
      <c r="T1125" s="52" t="s">
        <v>1654</v>
      </c>
      <c r="V1125" s="26">
        <f t="shared" si="252"/>
        <v>65</v>
      </c>
      <c r="W1125" s="26">
        <f>25</f>
        <v>25</v>
      </c>
      <c r="X1125" s="26" t="s">
        <v>298</v>
      </c>
      <c r="Y1125" s="26">
        <v>6.6</v>
      </c>
      <c r="Z1125" s="26">
        <v>0.88</v>
      </c>
      <c r="AB1125" s="26" t="s">
        <v>1582</v>
      </c>
      <c r="AC1125" s="26" t="s">
        <v>166</v>
      </c>
      <c r="AD1125" s="153" t="str">
        <f t="shared" si="244"/>
        <v>Rye</v>
      </c>
      <c r="AE1125" s="26" t="s">
        <v>709</v>
      </c>
      <c r="AG1125" s="26" t="s">
        <v>926</v>
      </c>
      <c r="AH1125" s="26" t="s">
        <v>926</v>
      </c>
      <c r="AI1125" s="26" t="s">
        <v>230</v>
      </c>
      <c r="AP1125" s="26" t="s">
        <v>154</v>
      </c>
      <c r="AQ1125" s="26">
        <v>3</v>
      </c>
      <c r="AR1125" s="26">
        <v>3</v>
      </c>
      <c r="AS1125" s="26" t="s">
        <v>404</v>
      </c>
      <c r="AU1125" s="26">
        <f>6.07*1000</f>
        <v>6070</v>
      </c>
      <c r="AV1125" s="26">
        <v>29</v>
      </c>
      <c r="BK1125" s="26">
        <v>5.4824000000000002</v>
      </c>
      <c r="BL1125" s="26">
        <v>4.6144000000000007</v>
      </c>
      <c r="BM1125" s="26" t="s">
        <v>574</v>
      </c>
      <c r="FA1125" s="26" t="s">
        <v>927</v>
      </c>
      <c r="FC1125" s="26">
        <v>53</v>
      </c>
    </row>
    <row r="1126" spans="1:159" s="26" customFormat="1" x14ac:dyDescent="0.25">
      <c r="A1126" s="26">
        <v>53</v>
      </c>
      <c r="B1126" s="26" t="s">
        <v>915</v>
      </c>
      <c r="C1126" s="26" t="s">
        <v>916</v>
      </c>
      <c r="D1126" s="26">
        <v>2006</v>
      </c>
      <c r="E1126" s="26">
        <v>2000</v>
      </c>
      <c r="F1126" s="26" t="s">
        <v>917</v>
      </c>
      <c r="G1126" s="26" t="s">
        <v>918</v>
      </c>
      <c r="H1126" s="26">
        <v>33.950000000000003</v>
      </c>
      <c r="I1126" s="26">
        <v>-83.38</v>
      </c>
      <c r="J1126" s="26">
        <v>208.4</v>
      </c>
      <c r="M1126" s="26">
        <f t="shared" ref="M1126:M1148" si="253">278+505</f>
        <v>783</v>
      </c>
      <c r="N1126" s="26">
        <f t="shared" si="247"/>
        <v>1233</v>
      </c>
      <c r="P1126" s="52" t="s">
        <v>179</v>
      </c>
      <c r="Q1126" s="52"/>
      <c r="R1126" s="52" t="s">
        <v>928</v>
      </c>
      <c r="S1126" s="52" t="s">
        <v>1653</v>
      </c>
      <c r="T1126" s="52" t="s">
        <v>1654</v>
      </c>
      <c r="V1126" s="26">
        <f t="shared" si="252"/>
        <v>65</v>
      </c>
      <c r="W1126" s="26">
        <f>25</f>
        <v>25</v>
      </c>
      <c r="X1126" s="26" t="s">
        <v>298</v>
      </c>
      <c r="Y1126" s="26">
        <v>6.6</v>
      </c>
      <c r="Z1126" s="26">
        <v>0.88</v>
      </c>
      <c r="AB1126" s="26" t="s">
        <v>1582</v>
      </c>
      <c r="AC1126" s="26" t="s">
        <v>301</v>
      </c>
      <c r="AD1126" s="153" t="str">
        <f t="shared" si="244"/>
        <v>Vetch</v>
      </c>
      <c r="AE1126" s="26" t="s">
        <v>709</v>
      </c>
      <c r="AG1126" s="26" t="s">
        <v>926</v>
      </c>
      <c r="AH1126" s="26" t="s">
        <v>926</v>
      </c>
      <c r="AI1126" s="26" t="s">
        <v>230</v>
      </c>
      <c r="AP1126" s="26" t="s">
        <v>154</v>
      </c>
      <c r="AQ1126" s="26">
        <v>3</v>
      </c>
      <c r="AR1126" s="26">
        <v>3</v>
      </c>
      <c r="AS1126" s="26" t="s">
        <v>404</v>
      </c>
      <c r="AU1126" s="26">
        <v>5100</v>
      </c>
      <c r="AV1126" s="26">
        <v>12</v>
      </c>
      <c r="BK1126" s="26">
        <v>5.4824000000000002</v>
      </c>
      <c r="BL1126" s="26">
        <v>7.0364000000000004</v>
      </c>
      <c r="BM1126" s="26" t="s">
        <v>574</v>
      </c>
      <c r="FA1126" s="26" t="s">
        <v>927</v>
      </c>
      <c r="FC1126" s="26">
        <v>53</v>
      </c>
    </row>
    <row r="1127" spans="1:159" s="26" customFormat="1" x14ac:dyDescent="0.25">
      <c r="A1127" s="26">
        <v>53</v>
      </c>
      <c r="B1127" s="26" t="s">
        <v>915</v>
      </c>
      <c r="C1127" s="26" t="s">
        <v>916</v>
      </c>
      <c r="D1127" s="26">
        <v>2006</v>
      </c>
      <c r="E1127" s="26">
        <v>2000</v>
      </c>
      <c r="F1127" s="26" t="s">
        <v>917</v>
      </c>
      <c r="G1127" s="26" t="s">
        <v>918</v>
      </c>
      <c r="H1127" s="26">
        <v>33.950000000000003</v>
      </c>
      <c r="I1127" s="26">
        <v>-83.38</v>
      </c>
      <c r="J1127" s="26">
        <v>208.4</v>
      </c>
      <c r="M1127" s="26">
        <f t="shared" si="253"/>
        <v>783</v>
      </c>
      <c r="N1127" s="26">
        <f t="shared" si="247"/>
        <v>1233</v>
      </c>
      <c r="P1127" s="52" t="s">
        <v>179</v>
      </c>
      <c r="Q1127" s="52"/>
      <c r="R1127" s="52" t="s">
        <v>928</v>
      </c>
      <c r="S1127" s="52" t="s">
        <v>1653</v>
      </c>
      <c r="T1127" s="52" t="s">
        <v>1654</v>
      </c>
      <c r="V1127" s="26">
        <f t="shared" si="252"/>
        <v>65</v>
      </c>
      <c r="W1127" s="26">
        <f>25</f>
        <v>25</v>
      </c>
      <c r="X1127" s="26" t="s">
        <v>298</v>
      </c>
      <c r="Y1127" s="26">
        <v>6.6</v>
      </c>
      <c r="Z1127" s="26">
        <v>0.88</v>
      </c>
      <c r="AB1127" s="26" t="s">
        <v>1582</v>
      </c>
      <c r="AC1127" s="26" t="s">
        <v>1802</v>
      </c>
      <c r="AD1127" s="153" t="str">
        <f t="shared" si="244"/>
        <v>Rye/Vetch</v>
      </c>
      <c r="AE1127" s="26" t="s">
        <v>709</v>
      </c>
      <c r="AG1127" s="26" t="s">
        <v>926</v>
      </c>
      <c r="AH1127" s="26" t="s">
        <v>926</v>
      </c>
      <c r="AI1127" s="26" t="s">
        <v>230</v>
      </c>
      <c r="AP1127" s="26" t="s">
        <v>154</v>
      </c>
      <c r="AQ1127" s="26">
        <v>3</v>
      </c>
      <c r="AR1127" s="26">
        <v>3</v>
      </c>
      <c r="AS1127" s="26" t="s">
        <v>404</v>
      </c>
      <c r="AU1127" s="26">
        <v>8180</v>
      </c>
      <c r="AV1127" s="26">
        <v>10</v>
      </c>
      <c r="BK1127" s="26">
        <v>5.4824000000000002</v>
      </c>
      <c r="BL1127" s="26">
        <v>5.4824000000000002</v>
      </c>
      <c r="BM1127" s="26" t="s">
        <v>574</v>
      </c>
      <c r="FA1127" s="26" t="s">
        <v>927</v>
      </c>
      <c r="FC1127" s="26">
        <v>53</v>
      </c>
    </row>
    <row r="1128" spans="1:159" s="85" customFormat="1" x14ac:dyDescent="0.25">
      <c r="A1128" s="85">
        <v>53</v>
      </c>
      <c r="B1128" s="85" t="s">
        <v>915</v>
      </c>
      <c r="C1128" s="85" t="s">
        <v>916</v>
      </c>
      <c r="D1128" s="85">
        <v>2006</v>
      </c>
      <c r="E1128" s="85">
        <v>2000</v>
      </c>
      <c r="F1128" s="85" t="s">
        <v>917</v>
      </c>
      <c r="G1128" s="85" t="s">
        <v>918</v>
      </c>
      <c r="H1128" s="85">
        <v>33.950000000000003</v>
      </c>
      <c r="I1128" s="85">
        <v>-83.38</v>
      </c>
      <c r="J1128" s="85">
        <v>208.4</v>
      </c>
      <c r="M1128" s="26">
        <f t="shared" si="253"/>
        <v>783</v>
      </c>
      <c r="N1128" s="26">
        <f t="shared" si="247"/>
        <v>1233</v>
      </c>
      <c r="P1128" s="86" t="s">
        <v>179</v>
      </c>
      <c r="Q1128" s="86"/>
      <c r="R1128" s="86" t="s">
        <v>929</v>
      </c>
      <c r="S1128" s="86" t="s">
        <v>1653</v>
      </c>
      <c r="T1128" s="86" t="s">
        <v>1654</v>
      </c>
      <c r="V1128" s="85">
        <f t="shared" si="252"/>
        <v>65</v>
      </c>
      <c r="W1128" s="85">
        <f>25</f>
        <v>25</v>
      </c>
      <c r="X1128" s="85" t="s">
        <v>298</v>
      </c>
      <c r="Y1128" s="85">
        <v>6.6</v>
      </c>
      <c r="Z1128" s="85">
        <v>0.88</v>
      </c>
      <c r="AB1128" s="85" t="s">
        <v>1582</v>
      </c>
      <c r="AC1128" s="85" t="s">
        <v>166</v>
      </c>
      <c r="AD1128" s="153" t="str">
        <f t="shared" si="244"/>
        <v>Rye</v>
      </c>
      <c r="AE1128" s="85" t="s">
        <v>709</v>
      </c>
      <c r="AG1128" s="26" t="s">
        <v>926</v>
      </c>
      <c r="AH1128" s="26" t="s">
        <v>926</v>
      </c>
      <c r="AI1128" s="26" t="s">
        <v>230</v>
      </c>
      <c r="AP1128" s="85" t="s">
        <v>154</v>
      </c>
      <c r="AQ1128" s="85">
        <v>3</v>
      </c>
      <c r="AR1128" s="85">
        <v>3</v>
      </c>
      <c r="AS1128" s="85" t="s">
        <v>404</v>
      </c>
      <c r="AU1128" s="85">
        <v>6070</v>
      </c>
      <c r="AV1128" s="85">
        <v>29</v>
      </c>
      <c r="BK1128" s="85">
        <v>5.9444000000000008</v>
      </c>
      <c r="BL1128" s="85">
        <v>5.4880000000000013</v>
      </c>
      <c r="BM1128" s="26" t="s">
        <v>574</v>
      </c>
      <c r="BO1128" s="26"/>
      <c r="DA1128" s="26"/>
      <c r="DC1128" s="26"/>
      <c r="FA1128" s="26" t="s">
        <v>927</v>
      </c>
      <c r="FC1128" s="85">
        <v>53</v>
      </c>
    </row>
    <row r="1129" spans="1:159" s="85" customFormat="1" x14ac:dyDescent="0.25">
      <c r="A1129" s="85">
        <v>53</v>
      </c>
      <c r="B1129" s="85" t="s">
        <v>915</v>
      </c>
      <c r="C1129" s="85" t="s">
        <v>916</v>
      </c>
      <c r="D1129" s="85">
        <v>2006</v>
      </c>
      <c r="E1129" s="85">
        <v>2000</v>
      </c>
      <c r="F1129" s="85" t="s">
        <v>917</v>
      </c>
      <c r="G1129" s="85" t="s">
        <v>918</v>
      </c>
      <c r="H1129" s="85">
        <v>33.950000000000003</v>
      </c>
      <c r="I1129" s="85">
        <v>-83.38</v>
      </c>
      <c r="J1129" s="85">
        <v>208.4</v>
      </c>
      <c r="M1129" s="26">
        <f t="shared" si="253"/>
        <v>783</v>
      </c>
      <c r="N1129" s="26">
        <f t="shared" si="247"/>
        <v>1233</v>
      </c>
      <c r="P1129" s="86" t="s">
        <v>179</v>
      </c>
      <c r="Q1129" s="86"/>
      <c r="R1129" s="86" t="s">
        <v>929</v>
      </c>
      <c r="S1129" s="86" t="s">
        <v>1653</v>
      </c>
      <c r="T1129" s="86" t="s">
        <v>1654</v>
      </c>
      <c r="V1129" s="85">
        <f t="shared" si="252"/>
        <v>65</v>
      </c>
      <c r="W1129" s="85">
        <f>25</f>
        <v>25</v>
      </c>
      <c r="X1129" s="85" t="s">
        <v>298</v>
      </c>
      <c r="Y1129" s="85">
        <v>6.6</v>
      </c>
      <c r="Z1129" s="85">
        <v>0.88</v>
      </c>
      <c r="AB1129" s="85" t="s">
        <v>1582</v>
      </c>
      <c r="AC1129" s="85" t="s">
        <v>301</v>
      </c>
      <c r="AD1129" s="153" t="str">
        <f t="shared" si="244"/>
        <v>Vetch</v>
      </c>
      <c r="AE1129" s="85" t="s">
        <v>709</v>
      </c>
      <c r="AG1129" s="26" t="s">
        <v>926</v>
      </c>
      <c r="AH1129" s="26" t="s">
        <v>926</v>
      </c>
      <c r="AI1129" s="26" t="s">
        <v>230</v>
      </c>
      <c r="AP1129" s="85" t="s">
        <v>154</v>
      </c>
      <c r="AQ1129" s="85">
        <v>3</v>
      </c>
      <c r="AR1129" s="85">
        <v>3</v>
      </c>
      <c r="AS1129" s="85" t="s">
        <v>404</v>
      </c>
      <c r="AU1129" s="85">
        <v>5100</v>
      </c>
      <c r="AV1129" s="85">
        <v>12</v>
      </c>
      <c r="BK1129" s="85">
        <v>5.9444000000000008</v>
      </c>
      <c r="BL1129" s="85">
        <v>6.3560000000000008</v>
      </c>
      <c r="BM1129" s="26" t="s">
        <v>574</v>
      </c>
      <c r="BO1129" s="26"/>
      <c r="DA1129" s="26"/>
      <c r="DC1129" s="26"/>
      <c r="FA1129" s="26" t="s">
        <v>927</v>
      </c>
      <c r="FC1129" s="85">
        <v>53</v>
      </c>
    </row>
    <row r="1130" spans="1:159" s="85" customFormat="1" x14ac:dyDescent="0.25">
      <c r="A1130" s="85">
        <v>53</v>
      </c>
      <c r="B1130" s="85" t="s">
        <v>915</v>
      </c>
      <c r="C1130" s="85" t="s">
        <v>916</v>
      </c>
      <c r="D1130" s="85">
        <v>2006</v>
      </c>
      <c r="E1130" s="85">
        <v>2000</v>
      </c>
      <c r="F1130" s="85" t="s">
        <v>917</v>
      </c>
      <c r="G1130" s="85" t="s">
        <v>918</v>
      </c>
      <c r="H1130" s="85">
        <v>33.950000000000003</v>
      </c>
      <c r="I1130" s="85">
        <v>-83.38</v>
      </c>
      <c r="J1130" s="85">
        <v>208.4</v>
      </c>
      <c r="M1130" s="26">
        <f t="shared" si="253"/>
        <v>783</v>
      </c>
      <c r="N1130" s="26">
        <f t="shared" si="247"/>
        <v>1233</v>
      </c>
      <c r="P1130" s="86" t="s">
        <v>179</v>
      </c>
      <c r="Q1130" s="86"/>
      <c r="R1130" s="86" t="s">
        <v>929</v>
      </c>
      <c r="S1130" s="86" t="s">
        <v>1653</v>
      </c>
      <c r="T1130" s="86" t="s">
        <v>1654</v>
      </c>
      <c r="V1130" s="85">
        <f t="shared" si="252"/>
        <v>65</v>
      </c>
      <c r="W1130" s="85">
        <f>25</f>
        <v>25</v>
      </c>
      <c r="X1130" s="85" t="s">
        <v>298</v>
      </c>
      <c r="Y1130" s="85">
        <v>6.6</v>
      </c>
      <c r="Z1130" s="85">
        <v>0.88</v>
      </c>
      <c r="AB1130" s="85" t="s">
        <v>1582</v>
      </c>
      <c r="AC1130" s="85" t="s">
        <v>1802</v>
      </c>
      <c r="AD1130" s="153" t="str">
        <f t="shared" si="244"/>
        <v>Rye/Vetch</v>
      </c>
      <c r="AE1130" s="85" t="s">
        <v>709</v>
      </c>
      <c r="AG1130" s="26" t="s">
        <v>926</v>
      </c>
      <c r="AH1130" s="26" t="s">
        <v>926</v>
      </c>
      <c r="AI1130" s="26" t="s">
        <v>230</v>
      </c>
      <c r="AP1130" s="85" t="s">
        <v>154</v>
      </c>
      <c r="AQ1130" s="85">
        <v>3</v>
      </c>
      <c r="AR1130" s="85">
        <v>3</v>
      </c>
      <c r="AS1130" s="85" t="s">
        <v>404</v>
      </c>
      <c r="AU1130" s="85">
        <v>8180</v>
      </c>
      <c r="AV1130" s="85">
        <v>10</v>
      </c>
      <c r="BK1130" s="85">
        <v>5.9444000000000008</v>
      </c>
      <c r="BL1130" s="85">
        <v>5.9640000000000004</v>
      </c>
      <c r="BM1130" s="26" t="s">
        <v>574</v>
      </c>
      <c r="BO1130" s="26"/>
      <c r="DA1130" s="26"/>
      <c r="DC1130" s="26"/>
      <c r="FA1130" s="26" t="s">
        <v>927</v>
      </c>
      <c r="FC1130" s="85">
        <v>53</v>
      </c>
    </row>
    <row r="1131" spans="1:159" s="26" customFormat="1" x14ac:dyDescent="0.25">
      <c r="A1131" s="26">
        <v>53</v>
      </c>
      <c r="B1131" s="26" t="s">
        <v>915</v>
      </c>
      <c r="C1131" s="26" t="s">
        <v>916</v>
      </c>
      <c r="D1131" s="26">
        <v>2006</v>
      </c>
      <c r="E1131" s="26">
        <v>2001</v>
      </c>
      <c r="F1131" s="26" t="s">
        <v>917</v>
      </c>
      <c r="G1131" s="26" t="s">
        <v>918</v>
      </c>
      <c r="H1131" s="26">
        <v>33.950000000000003</v>
      </c>
      <c r="I1131" s="26">
        <v>-83.38</v>
      </c>
      <c r="J1131" s="26">
        <v>208.4</v>
      </c>
      <c r="M1131" s="26">
        <v>748</v>
      </c>
      <c r="N1131" s="26">
        <f>588+645</f>
        <v>1233</v>
      </c>
      <c r="P1131" s="52" t="s">
        <v>180</v>
      </c>
      <c r="Q1131" s="52"/>
      <c r="R1131" s="52" t="s">
        <v>928</v>
      </c>
      <c r="S1131" s="52" t="s">
        <v>1653</v>
      </c>
      <c r="T1131" s="52" t="s">
        <v>1654</v>
      </c>
      <c r="V1131" s="26">
        <f t="shared" si="252"/>
        <v>65</v>
      </c>
      <c r="W1131" s="26">
        <f>25</f>
        <v>25</v>
      </c>
      <c r="X1131" s="26" t="s">
        <v>298</v>
      </c>
      <c r="Y1131" s="26">
        <v>6.6</v>
      </c>
      <c r="Z1131" s="26">
        <v>0.88</v>
      </c>
      <c r="AB1131" s="26" t="s">
        <v>1582</v>
      </c>
      <c r="AC1131" s="26" t="s">
        <v>166</v>
      </c>
      <c r="AD1131" s="153" t="str">
        <f t="shared" si="244"/>
        <v>Rye</v>
      </c>
      <c r="AE1131" s="26" t="s">
        <v>709</v>
      </c>
      <c r="AG1131" s="26" t="s">
        <v>926</v>
      </c>
      <c r="AH1131" s="26" t="s">
        <v>926</v>
      </c>
      <c r="AI1131" s="26" t="s">
        <v>230</v>
      </c>
      <c r="AP1131" s="26" t="s">
        <v>154</v>
      </c>
      <c r="AQ1131" s="26">
        <v>3</v>
      </c>
      <c r="AR1131" s="26">
        <v>3</v>
      </c>
      <c r="AS1131" s="26" t="s">
        <v>404</v>
      </c>
      <c r="AU1131" s="26">
        <v>3810</v>
      </c>
      <c r="AV1131" s="26">
        <v>57</v>
      </c>
      <c r="BK1131" s="26">
        <v>3.6624000000000003</v>
      </c>
      <c r="BL1131" s="26">
        <v>3.6120000000000005</v>
      </c>
      <c r="BM1131" s="26" t="s">
        <v>574</v>
      </c>
      <c r="FA1131" s="26" t="s">
        <v>927</v>
      </c>
      <c r="FC1131" s="26">
        <v>53</v>
      </c>
    </row>
    <row r="1132" spans="1:159" s="26" customFormat="1" x14ac:dyDescent="0.25">
      <c r="A1132" s="26">
        <v>53</v>
      </c>
      <c r="B1132" s="26" t="s">
        <v>915</v>
      </c>
      <c r="C1132" s="26" t="s">
        <v>916</v>
      </c>
      <c r="D1132" s="26">
        <v>2006</v>
      </c>
      <c r="E1132" s="26">
        <v>2001</v>
      </c>
      <c r="F1132" s="26" t="s">
        <v>917</v>
      </c>
      <c r="G1132" s="26" t="s">
        <v>918</v>
      </c>
      <c r="H1132" s="26">
        <v>33.950000000000003</v>
      </c>
      <c r="I1132" s="26">
        <v>-83.38</v>
      </c>
      <c r="J1132" s="26">
        <v>208.4</v>
      </c>
      <c r="M1132" s="26">
        <v>748</v>
      </c>
      <c r="N1132" s="26">
        <f t="shared" si="247"/>
        <v>1233</v>
      </c>
      <c r="P1132" s="52" t="s">
        <v>180</v>
      </c>
      <c r="Q1132" s="52"/>
      <c r="R1132" s="52" t="s">
        <v>928</v>
      </c>
      <c r="S1132" s="52" t="s">
        <v>1653</v>
      </c>
      <c r="T1132" s="52" t="s">
        <v>1654</v>
      </c>
      <c r="V1132" s="26">
        <f t="shared" si="252"/>
        <v>65</v>
      </c>
      <c r="W1132" s="26">
        <f>25</f>
        <v>25</v>
      </c>
      <c r="X1132" s="26" t="s">
        <v>298</v>
      </c>
      <c r="Y1132" s="26">
        <v>6.6</v>
      </c>
      <c r="Z1132" s="26">
        <v>0.88</v>
      </c>
      <c r="AB1132" s="26" t="s">
        <v>1582</v>
      </c>
      <c r="AC1132" s="26" t="s">
        <v>301</v>
      </c>
      <c r="AD1132" s="153" t="str">
        <f t="shared" si="244"/>
        <v>Vetch</v>
      </c>
      <c r="AE1132" s="26" t="s">
        <v>709</v>
      </c>
      <c r="AG1132" s="26" t="s">
        <v>926</v>
      </c>
      <c r="AH1132" s="26" t="s">
        <v>926</v>
      </c>
      <c r="AI1132" s="26" t="s">
        <v>230</v>
      </c>
      <c r="AP1132" s="26" t="s">
        <v>154</v>
      </c>
      <c r="AQ1132" s="26">
        <v>3</v>
      </c>
      <c r="AR1132" s="26">
        <v>3</v>
      </c>
      <c r="AS1132" s="26" t="s">
        <v>404</v>
      </c>
      <c r="AU1132" s="26">
        <v>2440</v>
      </c>
      <c r="AV1132" s="26">
        <v>12</v>
      </c>
      <c r="BK1132" s="26">
        <v>3.6624000000000003</v>
      </c>
      <c r="BL1132" s="26">
        <v>4.2111999999999998</v>
      </c>
      <c r="BM1132" s="26" t="s">
        <v>574</v>
      </c>
      <c r="FA1132" s="26" t="s">
        <v>927</v>
      </c>
      <c r="FC1132" s="26">
        <v>53</v>
      </c>
    </row>
    <row r="1133" spans="1:159" s="26" customFormat="1" x14ac:dyDescent="0.25">
      <c r="A1133" s="26">
        <v>53</v>
      </c>
      <c r="B1133" s="26" t="s">
        <v>915</v>
      </c>
      <c r="C1133" s="26" t="s">
        <v>916</v>
      </c>
      <c r="D1133" s="26">
        <v>2006</v>
      </c>
      <c r="E1133" s="26">
        <v>2001</v>
      </c>
      <c r="F1133" s="26" t="s">
        <v>917</v>
      </c>
      <c r="G1133" s="26" t="s">
        <v>918</v>
      </c>
      <c r="H1133" s="26">
        <v>33.950000000000003</v>
      </c>
      <c r="I1133" s="26">
        <v>-83.38</v>
      </c>
      <c r="J1133" s="26">
        <v>208.4</v>
      </c>
      <c r="M1133" s="26">
        <v>748</v>
      </c>
      <c r="N1133" s="26">
        <f t="shared" si="247"/>
        <v>1233</v>
      </c>
      <c r="P1133" s="52" t="s">
        <v>180</v>
      </c>
      <c r="Q1133" s="52"/>
      <c r="R1133" s="52" t="s">
        <v>928</v>
      </c>
      <c r="S1133" s="52" t="s">
        <v>1653</v>
      </c>
      <c r="T1133" s="52" t="s">
        <v>1654</v>
      </c>
      <c r="V1133" s="26">
        <f t="shared" si="252"/>
        <v>65</v>
      </c>
      <c r="W1133" s="26">
        <f>25</f>
        <v>25</v>
      </c>
      <c r="X1133" s="26" t="s">
        <v>298</v>
      </c>
      <c r="Y1133" s="26">
        <v>6.6</v>
      </c>
      <c r="Z1133" s="26">
        <v>0.88</v>
      </c>
      <c r="AB1133" s="26" t="s">
        <v>1582</v>
      </c>
      <c r="AC1133" s="26" t="s">
        <v>1802</v>
      </c>
      <c r="AD1133" s="153" t="str">
        <f t="shared" si="244"/>
        <v>Rye/Vetch</v>
      </c>
      <c r="AE1133" s="26" t="s">
        <v>709</v>
      </c>
      <c r="AG1133" s="26" t="s">
        <v>926</v>
      </c>
      <c r="AH1133" s="26" t="s">
        <v>926</v>
      </c>
      <c r="AI1133" s="26" t="s">
        <v>230</v>
      </c>
      <c r="AP1133" s="26" t="s">
        <v>154</v>
      </c>
      <c r="AQ1133" s="26">
        <v>3</v>
      </c>
      <c r="AR1133" s="26">
        <v>3</v>
      </c>
      <c r="AS1133" s="26" t="s">
        <v>404</v>
      </c>
      <c r="AU1133" s="26">
        <v>5980</v>
      </c>
      <c r="AV1133" s="26">
        <v>32</v>
      </c>
      <c r="BK1133" s="26">
        <v>3.6624000000000003</v>
      </c>
      <c r="BL1133" s="26">
        <v>3.6624000000000003</v>
      </c>
      <c r="BM1133" s="26" t="s">
        <v>574</v>
      </c>
      <c r="FA1133" s="26" t="s">
        <v>927</v>
      </c>
      <c r="FC1133" s="26">
        <v>53</v>
      </c>
    </row>
    <row r="1134" spans="1:159" s="85" customFormat="1" x14ac:dyDescent="0.25">
      <c r="A1134" s="85">
        <v>53</v>
      </c>
      <c r="B1134" s="85" t="s">
        <v>915</v>
      </c>
      <c r="C1134" s="85" t="s">
        <v>916</v>
      </c>
      <c r="D1134" s="85">
        <v>2006</v>
      </c>
      <c r="E1134" s="85">
        <v>2001</v>
      </c>
      <c r="F1134" s="85" t="s">
        <v>917</v>
      </c>
      <c r="G1134" s="85" t="s">
        <v>918</v>
      </c>
      <c r="H1134" s="85">
        <v>33.950000000000003</v>
      </c>
      <c r="I1134" s="85">
        <v>-83.38</v>
      </c>
      <c r="J1134" s="85">
        <v>208.4</v>
      </c>
      <c r="M1134" s="26">
        <v>748</v>
      </c>
      <c r="N1134" s="26">
        <f t="shared" si="247"/>
        <v>1233</v>
      </c>
      <c r="P1134" s="86" t="s">
        <v>180</v>
      </c>
      <c r="Q1134" s="86"/>
      <c r="R1134" s="86" t="s">
        <v>929</v>
      </c>
      <c r="S1134" s="86" t="s">
        <v>1653</v>
      </c>
      <c r="T1134" s="86" t="s">
        <v>1654</v>
      </c>
      <c r="V1134" s="85">
        <f t="shared" si="252"/>
        <v>65</v>
      </c>
      <c r="W1134" s="85">
        <f>25</f>
        <v>25</v>
      </c>
      <c r="X1134" s="85" t="s">
        <v>298</v>
      </c>
      <c r="Y1134" s="85">
        <v>6.6</v>
      </c>
      <c r="Z1134" s="85">
        <v>0.88</v>
      </c>
      <c r="AB1134" s="85" t="s">
        <v>1582</v>
      </c>
      <c r="AC1134" s="85" t="s">
        <v>166</v>
      </c>
      <c r="AD1134" s="153" t="str">
        <f t="shared" si="244"/>
        <v>Rye</v>
      </c>
      <c r="AE1134" s="85" t="s">
        <v>709</v>
      </c>
      <c r="AG1134" s="26" t="s">
        <v>926</v>
      </c>
      <c r="AH1134" s="26" t="s">
        <v>926</v>
      </c>
      <c r="AI1134" s="26" t="s">
        <v>230</v>
      </c>
      <c r="AP1134" s="85" t="s">
        <v>154</v>
      </c>
      <c r="AQ1134" s="85">
        <v>3</v>
      </c>
      <c r="AR1134" s="85">
        <v>3</v>
      </c>
      <c r="AS1134" s="85" t="s">
        <v>404</v>
      </c>
      <c r="AU1134" s="85">
        <v>3810</v>
      </c>
      <c r="AV1134" s="85">
        <v>57</v>
      </c>
      <c r="BK1134" s="85">
        <v>5.7232000000000012</v>
      </c>
      <c r="BL1134" s="85">
        <v>4.6256000000000004</v>
      </c>
      <c r="BM1134" s="26" t="s">
        <v>574</v>
      </c>
      <c r="BO1134" s="26"/>
      <c r="DA1134" s="26"/>
      <c r="DC1134" s="26"/>
      <c r="FA1134" s="26" t="s">
        <v>927</v>
      </c>
      <c r="FC1134" s="85">
        <v>53</v>
      </c>
    </row>
    <row r="1135" spans="1:159" s="85" customFormat="1" x14ac:dyDescent="0.25">
      <c r="A1135" s="85">
        <v>53</v>
      </c>
      <c r="B1135" s="85" t="s">
        <v>915</v>
      </c>
      <c r="C1135" s="85" t="s">
        <v>916</v>
      </c>
      <c r="D1135" s="85">
        <v>2006</v>
      </c>
      <c r="E1135" s="85">
        <v>2001</v>
      </c>
      <c r="F1135" s="85" t="s">
        <v>917</v>
      </c>
      <c r="G1135" s="85" t="s">
        <v>918</v>
      </c>
      <c r="H1135" s="85">
        <v>33.950000000000003</v>
      </c>
      <c r="I1135" s="85">
        <v>-83.38</v>
      </c>
      <c r="J1135" s="85">
        <v>208.4</v>
      </c>
      <c r="M1135" s="26">
        <v>748</v>
      </c>
      <c r="N1135" s="26">
        <f t="shared" si="247"/>
        <v>1233</v>
      </c>
      <c r="P1135" s="86" t="s">
        <v>180</v>
      </c>
      <c r="Q1135" s="86"/>
      <c r="R1135" s="86" t="s">
        <v>929</v>
      </c>
      <c r="S1135" s="86" t="s">
        <v>1653</v>
      </c>
      <c r="T1135" s="86" t="s">
        <v>1654</v>
      </c>
      <c r="V1135" s="85">
        <f t="shared" si="252"/>
        <v>65</v>
      </c>
      <c r="W1135" s="85">
        <f>25</f>
        <v>25</v>
      </c>
      <c r="X1135" s="85" t="s">
        <v>298</v>
      </c>
      <c r="Y1135" s="85">
        <v>6.6</v>
      </c>
      <c r="Z1135" s="85">
        <v>0.88</v>
      </c>
      <c r="AB1135" s="85" t="s">
        <v>1582</v>
      </c>
      <c r="AC1135" s="85" t="s">
        <v>301</v>
      </c>
      <c r="AD1135" s="153" t="str">
        <f t="shared" si="244"/>
        <v>Vetch</v>
      </c>
      <c r="AE1135" s="85" t="s">
        <v>709</v>
      </c>
      <c r="AG1135" s="26" t="s">
        <v>926</v>
      </c>
      <c r="AH1135" s="26" t="s">
        <v>926</v>
      </c>
      <c r="AI1135" s="26" t="s">
        <v>230</v>
      </c>
      <c r="AP1135" s="85" t="s">
        <v>154</v>
      </c>
      <c r="AQ1135" s="85">
        <v>3</v>
      </c>
      <c r="AR1135" s="85">
        <v>3</v>
      </c>
      <c r="AS1135" s="85" t="s">
        <v>404</v>
      </c>
      <c r="AU1135" s="85">
        <v>2440</v>
      </c>
      <c r="AV1135" s="85">
        <v>12</v>
      </c>
      <c r="BK1135" s="85">
        <v>5.7232000000000012</v>
      </c>
      <c r="BL1135" s="85">
        <v>5.7204000000000006</v>
      </c>
      <c r="BM1135" s="26" t="s">
        <v>574</v>
      </c>
      <c r="BO1135" s="26"/>
      <c r="DA1135" s="26"/>
      <c r="DC1135" s="26"/>
      <c r="FA1135" s="26" t="s">
        <v>927</v>
      </c>
      <c r="FC1135" s="85">
        <v>53</v>
      </c>
    </row>
    <row r="1136" spans="1:159" s="85" customFormat="1" x14ac:dyDescent="0.25">
      <c r="A1136" s="85">
        <v>53</v>
      </c>
      <c r="B1136" s="85" t="s">
        <v>915</v>
      </c>
      <c r="C1136" s="85" t="s">
        <v>916</v>
      </c>
      <c r="D1136" s="85">
        <v>2006</v>
      </c>
      <c r="E1136" s="85">
        <v>2001</v>
      </c>
      <c r="F1136" s="85" t="s">
        <v>917</v>
      </c>
      <c r="G1136" s="85" t="s">
        <v>918</v>
      </c>
      <c r="H1136" s="85">
        <v>33.950000000000003</v>
      </c>
      <c r="I1136" s="85">
        <v>-83.38</v>
      </c>
      <c r="J1136" s="85">
        <v>208.4</v>
      </c>
      <c r="M1136" s="26">
        <v>748</v>
      </c>
      <c r="N1136" s="26">
        <f t="shared" si="247"/>
        <v>1233</v>
      </c>
      <c r="P1136" s="86" t="s">
        <v>180</v>
      </c>
      <c r="Q1136" s="86"/>
      <c r="R1136" s="86" t="s">
        <v>929</v>
      </c>
      <c r="S1136" s="86" t="s">
        <v>1653</v>
      </c>
      <c r="T1136" s="86" t="s">
        <v>1654</v>
      </c>
      <c r="V1136" s="85">
        <f t="shared" si="252"/>
        <v>65</v>
      </c>
      <c r="W1136" s="85">
        <f>25</f>
        <v>25</v>
      </c>
      <c r="X1136" s="85" t="s">
        <v>298</v>
      </c>
      <c r="Y1136" s="85">
        <v>6.6</v>
      </c>
      <c r="Z1136" s="85">
        <v>0.88</v>
      </c>
      <c r="AB1136" s="85" t="s">
        <v>1582</v>
      </c>
      <c r="AC1136" s="85" t="s">
        <v>1802</v>
      </c>
      <c r="AD1136" s="153" t="str">
        <f t="shared" si="244"/>
        <v>Rye/Vetch</v>
      </c>
      <c r="AE1136" s="85" t="s">
        <v>709</v>
      </c>
      <c r="AG1136" s="26" t="s">
        <v>926</v>
      </c>
      <c r="AH1136" s="26" t="s">
        <v>926</v>
      </c>
      <c r="AI1136" s="26" t="s">
        <v>230</v>
      </c>
      <c r="AP1136" s="85" t="s">
        <v>154</v>
      </c>
      <c r="AQ1136" s="85">
        <v>3</v>
      </c>
      <c r="AR1136" s="85">
        <v>3</v>
      </c>
      <c r="AS1136" s="85" t="s">
        <v>404</v>
      </c>
      <c r="AU1136" s="85">
        <v>5980</v>
      </c>
      <c r="AV1136" s="85">
        <v>32</v>
      </c>
      <c r="BK1136" s="85">
        <v>5.7232000000000012</v>
      </c>
      <c r="BL1136" s="85">
        <v>5.3116000000000003</v>
      </c>
      <c r="BM1136" s="26" t="s">
        <v>574</v>
      </c>
      <c r="BO1136" s="26"/>
      <c r="DA1136" s="26"/>
      <c r="DC1136" s="26"/>
      <c r="FA1136" s="26" t="s">
        <v>927</v>
      </c>
      <c r="FC1136" s="85">
        <v>53</v>
      </c>
    </row>
    <row r="1137" spans="1:159" s="26" customFormat="1" x14ac:dyDescent="0.25">
      <c r="A1137" s="26">
        <v>53</v>
      </c>
      <c r="B1137" s="26" t="s">
        <v>915</v>
      </c>
      <c r="C1137" s="26" t="s">
        <v>916</v>
      </c>
      <c r="D1137" s="26">
        <v>2006</v>
      </c>
      <c r="E1137" s="26">
        <v>2002</v>
      </c>
      <c r="F1137" s="26" t="s">
        <v>917</v>
      </c>
      <c r="G1137" s="26" t="s">
        <v>918</v>
      </c>
      <c r="H1137" s="26">
        <v>33.950000000000003</v>
      </c>
      <c r="I1137" s="26">
        <v>-83.38</v>
      </c>
      <c r="J1137" s="26">
        <v>208.4</v>
      </c>
      <c r="M1137" s="26">
        <v>971</v>
      </c>
      <c r="N1137" s="26">
        <f>588+645</f>
        <v>1233</v>
      </c>
      <c r="P1137" s="52" t="s">
        <v>181</v>
      </c>
      <c r="Q1137" s="52"/>
      <c r="R1137" s="52" t="s">
        <v>928</v>
      </c>
      <c r="S1137" s="52" t="s">
        <v>1653</v>
      </c>
      <c r="T1137" s="52" t="s">
        <v>1654</v>
      </c>
      <c r="V1137" s="26">
        <f t="shared" si="252"/>
        <v>65</v>
      </c>
      <c r="W1137" s="26">
        <f>25</f>
        <v>25</v>
      </c>
      <c r="X1137" s="26" t="s">
        <v>298</v>
      </c>
      <c r="Y1137" s="26">
        <v>6.6</v>
      </c>
      <c r="Z1137" s="26">
        <v>0.88</v>
      </c>
      <c r="AB1137" s="26" t="s">
        <v>1582</v>
      </c>
      <c r="AC1137" s="26" t="s">
        <v>166</v>
      </c>
      <c r="AD1137" s="153" t="str">
        <f t="shared" si="244"/>
        <v>Rye</v>
      </c>
      <c r="AE1137" s="26" t="s">
        <v>709</v>
      </c>
      <c r="AG1137" s="26" t="s">
        <v>926</v>
      </c>
      <c r="AH1137" s="26" t="s">
        <v>926</v>
      </c>
      <c r="AI1137" s="26" t="s">
        <v>230</v>
      </c>
      <c r="AP1137" s="26" t="s">
        <v>154</v>
      </c>
      <c r="AQ1137" s="26">
        <v>3</v>
      </c>
      <c r="AR1137" s="26">
        <v>3</v>
      </c>
      <c r="AS1137" s="26" t="s">
        <v>404</v>
      </c>
      <c r="AU1137" s="26">
        <v>2280</v>
      </c>
      <c r="AV1137" s="26">
        <v>40</v>
      </c>
      <c r="AY1137" s="26">
        <v>3667</v>
      </c>
      <c r="AZ1137" s="26">
        <v>3567</v>
      </c>
      <c r="BA1137" s="26" t="s">
        <v>1015</v>
      </c>
      <c r="BK1137" s="26">
        <v>6.0452000000000004</v>
      </c>
      <c r="BL1137" s="26">
        <v>7.0504000000000007</v>
      </c>
      <c r="BM1137" s="26" t="s">
        <v>574</v>
      </c>
      <c r="FA1137" s="26" t="s">
        <v>927</v>
      </c>
      <c r="FC1137" s="26">
        <v>53</v>
      </c>
    </row>
    <row r="1138" spans="1:159" s="26" customFormat="1" x14ac:dyDescent="0.25">
      <c r="A1138" s="26">
        <v>53</v>
      </c>
      <c r="B1138" s="26" t="s">
        <v>915</v>
      </c>
      <c r="C1138" s="26" t="s">
        <v>916</v>
      </c>
      <c r="D1138" s="26">
        <v>2006</v>
      </c>
      <c r="E1138" s="26">
        <v>2002</v>
      </c>
      <c r="F1138" s="26" t="s">
        <v>917</v>
      </c>
      <c r="G1138" s="26" t="s">
        <v>918</v>
      </c>
      <c r="H1138" s="26">
        <v>33.950000000000003</v>
      </c>
      <c r="I1138" s="26">
        <v>-83.38</v>
      </c>
      <c r="J1138" s="26">
        <v>208.4</v>
      </c>
      <c r="M1138" s="26">
        <v>971</v>
      </c>
      <c r="N1138" s="26">
        <f t="shared" si="247"/>
        <v>1233</v>
      </c>
      <c r="P1138" s="52" t="s">
        <v>181</v>
      </c>
      <c r="Q1138" s="52"/>
      <c r="R1138" s="52" t="s">
        <v>928</v>
      </c>
      <c r="S1138" s="52" t="s">
        <v>1653</v>
      </c>
      <c r="T1138" s="52" t="s">
        <v>1654</v>
      </c>
      <c r="V1138" s="26">
        <f t="shared" si="252"/>
        <v>65</v>
      </c>
      <c r="W1138" s="26">
        <f>25</f>
        <v>25</v>
      </c>
      <c r="X1138" s="26" t="s">
        <v>298</v>
      </c>
      <c r="Y1138" s="26">
        <v>6.6</v>
      </c>
      <c r="Z1138" s="26">
        <v>0.88</v>
      </c>
      <c r="AB1138" s="26" t="s">
        <v>1582</v>
      </c>
      <c r="AC1138" s="26" t="s">
        <v>301</v>
      </c>
      <c r="AD1138" s="153" t="str">
        <f t="shared" si="244"/>
        <v>Vetch</v>
      </c>
      <c r="AE1138" s="26" t="s">
        <v>709</v>
      </c>
      <c r="AG1138" s="26" t="s">
        <v>926</v>
      </c>
      <c r="AH1138" s="26" t="s">
        <v>926</v>
      </c>
      <c r="AI1138" s="26" t="s">
        <v>230</v>
      </c>
      <c r="AP1138" s="26" t="s">
        <v>154</v>
      </c>
      <c r="AQ1138" s="26">
        <v>3</v>
      </c>
      <c r="AR1138" s="26">
        <v>3</v>
      </c>
      <c r="AS1138" s="26" t="s">
        <v>404</v>
      </c>
      <c r="AU1138" s="26">
        <v>5160</v>
      </c>
      <c r="AV1138" s="26">
        <v>10</v>
      </c>
      <c r="AY1138" s="26">
        <v>3667</v>
      </c>
      <c r="AZ1138" s="26">
        <v>4067</v>
      </c>
      <c r="BA1138" s="26" t="s">
        <v>1015</v>
      </c>
      <c r="BK1138" s="26">
        <v>6.0452000000000004</v>
      </c>
      <c r="BL1138" s="26">
        <v>9.2904</v>
      </c>
      <c r="BM1138" s="26" t="s">
        <v>574</v>
      </c>
      <c r="FA1138" s="26" t="s">
        <v>927</v>
      </c>
      <c r="FC1138" s="26">
        <v>53</v>
      </c>
    </row>
    <row r="1139" spans="1:159" s="26" customFormat="1" x14ac:dyDescent="0.25">
      <c r="A1139" s="26">
        <v>53</v>
      </c>
      <c r="B1139" s="26" t="s">
        <v>915</v>
      </c>
      <c r="C1139" s="26" t="s">
        <v>916</v>
      </c>
      <c r="D1139" s="26">
        <v>2006</v>
      </c>
      <c r="E1139" s="26">
        <v>2002</v>
      </c>
      <c r="F1139" s="26" t="s">
        <v>917</v>
      </c>
      <c r="G1139" s="26" t="s">
        <v>918</v>
      </c>
      <c r="H1139" s="26">
        <v>33.950000000000003</v>
      </c>
      <c r="I1139" s="26">
        <v>-83.38</v>
      </c>
      <c r="J1139" s="26">
        <v>208.4</v>
      </c>
      <c r="M1139" s="26">
        <v>971</v>
      </c>
      <c r="N1139" s="26">
        <f t="shared" si="247"/>
        <v>1233</v>
      </c>
      <c r="P1139" s="52" t="s">
        <v>181</v>
      </c>
      <c r="Q1139" s="52"/>
      <c r="R1139" s="52" t="s">
        <v>928</v>
      </c>
      <c r="S1139" s="52" t="s">
        <v>1653</v>
      </c>
      <c r="T1139" s="52" t="s">
        <v>1654</v>
      </c>
      <c r="V1139" s="26">
        <f t="shared" si="252"/>
        <v>65</v>
      </c>
      <c r="W1139" s="26">
        <f>25</f>
        <v>25</v>
      </c>
      <c r="X1139" s="26" t="s">
        <v>298</v>
      </c>
      <c r="Y1139" s="26">
        <v>6.6</v>
      </c>
      <c r="Z1139" s="26">
        <v>0.88</v>
      </c>
      <c r="AB1139" s="26" t="s">
        <v>1582</v>
      </c>
      <c r="AC1139" s="26" t="s">
        <v>1802</v>
      </c>
      <c r="AD1139" s="153" t="str">
        <f t="shared" si="244"/>
        <v>Rye/Vetch</v>
      </c>
      <c r="AE1139" s="26" t="s">
        <v>709</v>
      </c>
      <c r="AG1139" s="26" t="s">
        <v>926</v>
      </c>
      <c r="AH1139" s="26" t="s">
        <v>926</v>
      </c>
      <c r="AI1139" s="26" t="s">
        <v>230</v>
      </c>
      <c r="AP1139" s="26" t="s">
        <v>154</v>
      </c>
      <c r="AQ1139" s="26">
        <v>3</v>
      </c>
      <c r="AR1139" s="26">
        <v>3</v>
      </c>
      <c r="AS1139" s="26" t="s">
        <v>404</v>
      </c>
      <c r="AU1139" s="26">
        <v>5720</v>
      </c>
      <c r="AV1139" s="26">
        <v>11</v>
      </c>
      <c r="AY1139" s="26">
        <v>3667</v>
      </c>
      <c r="AZ1139" s="26">
        <v>4233</v>
      </c>
      <c r="BA1139" s="26" t="s">
        <v>1015</v>
      </c>
      <c r="BK1139" s="26">
        <v>6.0452000000000004</v>
      </c>
      <c r="BL1139" s="26">
        <v>9.2904</v>
      </c>
      <c r="BM1139" s="26" t="s">
        <v>574</v>
      </c>
      <c r="FA1139" s="26" t="s">
        <v>927</v>
      </c>
      <c r="FC1139" s="26">
        <v>53</v>
      </c>
    </row>
    <row r="1140" spans="1:159" s="85" customFormat="1" x14ac:dyDescent="0.25">
      <c r="A1140" s="85">
        <v>53</v>
      </c>
      <c r="B1140" s="85" t="s">
        <v>915</v>
      </c>
      <c r="C1140" s="85" t="s">
        <v>916</v>
      </c>
      <c r="D1140" s="85">
        <v>2006</v>
      </c>
      <c r="E1140" s="85">
        <v>2002</v>
      </c>
      <c r="F1140" s="85" t="s">
        <v>917</v>
      </c>
      <c r="G1140" s="85" t="s">
        <v>918</v>
      </c>
      <c r="H1140" s="85">
        <v>33.950000000000003</v>
      </c>
      <c r="I1140" s="85">
        <v>-83.38</v>
      </c>
      <c r="J1140" s="85">
        <v>208.4</v>
      </c>
      <c r="M1140" s="26">
        <v>971</v>
      </c>
      <c r="N1140" s="26">
        <f t="shared" si="247"/>
        <v>1233</v>
      </c>
      <c r="P1140" s="86" t="s">
        <v>181</v>
      </c>
      <c r="Q1140" s="86"/>
      <c r="R1140" s="86" t="s">
        <v>929</v>
      </c>
      <c r="S1140" s="86" t="s">
        <v>1653</v>
      </c>
      <c r="T1140" s="86" t="s">
        <v>1654</v>
      </c>
      <c r="V1140" s="85">
        <f t="shared" si="252"/>
        <v>65</v>
      </c>
      <c r="W1140" s="85">
        <f>25</f>
        <v>25</v>
      </c>
      <c r="X1140" s="85" t="s">
        <v>298</v>
      </c>
      <c r="Y1140" s="85">
        <v>6.6</v>
      </c>
      <c r="Z1140" s="85">
        <v>0.88</v>
      </c>
      <c r="AB1140" s="85" t="s">
        <v>1582</v>
      </c>
      <c r="AC1140" s="85" t="s">
        <v>166</v>
      </c>
      <c r="AD1140" s="153" t="str">
        <f t="shared" si="244"/>
        <v>Rye</v>
      </c>
      <c r="AE1140" s="85" t="s">
        <v>709</v>
      </c>
      <c r="AG1140" s="26" t="s">
        <v>926</v>
      </c>
      <c r="AH1140" s="26" t="s">
        <v>926</v>
      </c>
      <c r="AI1140" s="26" t="s">
        <v>230</v>
      </c>
      <c r="AP1140" s="85" t="s">
        <v>154</v>
      </c>
      <c r="AQ1140" s="85">
        <v>3</v>
      </c>
      <c r="AR1140" s="85">
        <v>3</v>
      </c>
      <c r="AS1140" s="85" t="s">
        <v>404</v>
      </c>
      <c r="AU1140" s="85">
        <v>2280</v>
      </c>
      <c r="AV1140" s="85">
        <v>40</v>
      </c>
      <c r="BK1140" s="85">
        <v>5.9136000000000006</v>
      </c>
      <c r="BL1140" s="85">
        <v>6.6892000000000005</v>
      </c>
      <c r="BM1140" s="26" t="s">
        <v>574</v>
      </c>
      <c r="BO1140" s="26"/>
      <c r="DA1140" s="26"/>
      <c r="DC1140" s="26"/>
      <c r="FA1140" s="26" t="s">
        <v>927</v>
      </c>
      <c r="FC1140" s="85">
        <v>53</v>
      </c>
    </row>
    <row r="1141" spans="1:159" s="85" customFormat="1" x14ac:dyDescent="0.25">
      <c r="A1141" s="85">
        <v>53</v>
      </c>
      <c r="B1141" s="85" t="s">
        <v>915</v>
      </c>
      <c r="C1141" s="85" t="s">
        <v>916</v>
      </c>
      <c r="D1141" s="85">
        <v>2006</v>
      </c>
      <c r="E1141" s="85">
        <v>2002</v>
      </c>
      <c r="F1141" s="85" t="s">
        <v>917</v>
      </c>
      <c r="G1141" s="85" t="s">
        <v>918</v>
      </c>
      <c r="H1141" s="85">
        <v>33.950000000000003</v>
      </c>
      <c r="I1141" s="85">
        <v>-83.38</v>
      </c>
      <c r="J1141" s="85">
        <v>208.4</v>
      </c>
      <c r="M1141" s="26">
        <v>971</v>
      </c>
      <c r="N1141" s="26">
        <f t="shared" si="247"/>
        <v>1233</v>
      </c>
      <c r="P1141" s="86" t="s">
        <v>181</v>
      </c>
      <c r="Q1141" s="86"/>
      <c r="R1141" s="86" t="s">
        <v>929</v>
      </c>
      <c r="S1141" s="86" t="s">
        <v>1653</v>
      </c>
      <c r="T1141" s="86" t="s">
        <v>1654</v>
      </c>
      <c r="V1141" s="85">
        <f t="shared" si="252"/>
        <v>65</v>
      </c>
      <c r="W1141" s="85">
        <f>25</f>
        <v>25</v>
      </c>
      <c r="X1141" s="85" t="s">
        <v>298</v>
      </c>
      <c r="Y1141" s="85">
        <v>6.6</v>
      </c>
      <c r="Z1141" s="85">
        <v>0.88</v>
      </c>
      <c r="AB1141" s="85" t="s">
        <v>1582</v>
      </c>
      <c r="AC1141" s="85" t="s">
        <v>301</v>
      </c>
      <c r="AD1141" s="153" t="str">
        <f t="shared" si="244"/>
        <v>Vetch</v>
      </c>
      <c r="AE1141" s="85" t="s">
        <v>709</v>
      </c>
      <c r="AG1141" s="26" t="s">
        <v>926</v>
      </c>
      <c r="AH1141" s="26" t="s">
        <v>926</v>
      </c>
      <c r="AI1141" s="26" t="s">
        <v>230</v>
      </c>
      <c r="AP1141" s="85" t="s">
        <v>154</v>
      </c>
      <c r="AQ1141" s="85">
        <v>3</v>
      </c>
      <c r="AR1141" s="85">
        <v>3</v>
      </c>
      <c r="AS1141" s="85" t="s">
        <v>404</v>
      </c>
      <c r="AU1141" s="85">
        <v>5160</v>
      </c>
      <c r="AV1141" s="85">
        <v>10</v>
      </c>
      <c r="BK1141" s="85">
        <v>5.9136000000000006</v>
      </c>
      <c r="BL1141" s="85">
        <v>7.1456000000000008</v>
      </c>
      <c r="BM1141" s="26" t="s">
        <v>574</v>
      </c>
      <c r="BO1141" s="26"/>
      <c r="DA1141" s="26"/>
      <c r="DC1141" s="26"/>
      <c r="FA1141" s="26" t="s">
        <v>927</v>
      </c>
      <c r="FC1141" s="85">
        <v>53</v>
      </c>
    </row>
    <row r="1142" spans="1:159" s="85" customFormat="1" x14ac:dyDescent="0.25">
      <c r="A1142" s="85">
        <v>53</v>
      </c>
      <c r="B1142" s="85" t="s">
        <v>915</v>
      </c>
      <c r="C1142" s="85" t="s">
        <v>916</v>
      </c>
      <c r="D1142" s="85">
        <v>2006</v>
      </c>
      <c r="E1142" s="85">
        <v>2002</v>
      </c>
      <c r="F1142" s="85" t="s">
        <v>917</v>
      </c>
      <c r="G1142" s="85" t="s">
        <v>918</v>
      </c>
      <c r="H1142" s="85">
        <v>33.950000000000003</v>
      </c>
      <c r="I1142" s="85">
        <v>-83.38</v>
      </c>
      <c r="J1142" s="85">
        <v>208.4</v>
      </c>
      <c r="M1142" s="26">
        <v>971</v>
      </c>
      <c r="N1142" s="26">
        <f t="shared" si="247"/>
        <v>1233</v>
      </c>
      <c r="P1142" s="86" t="s">
        <v>181</v>
      </c>
      <c r="Q1142" s="86"/>
      <c r="R1142" s="86" t="s">
        <v>929</v>
      </c>
      <c r="S1142" s="86" t="s">
        <v>1653</v>
      </c>
      <c r="T1142" s="86" t="s">
        <v>1654</v>
      </c>
      <c r="V1142" s="85">
        <f t="shared" si="252"/>
        <v>65</v>
      </c>
      <c r="W1142" s="85">
        <f>25</f>
        <v>25</v>
      </c>
      <c r="X1142" s="85" t="s">
        <v>298</v>
      </c>
      <c r="Y1142" s="85">
        <v>6.6</v>
      </c>
      <c r="Z1142" s="85">
        <v>0.88</v>
      </c>
      <c r="AB1142" s="85" t="s">
        <v>1582</v>
      </c>
      <c r="AC1142" s="85" t="s">
        <v>1802</v>
      </c>
      <c r="AD1142" s="153" t="str">
        <f t="shared" si="244"/>
        <v>Rye/Vetch</v>
      </c>
      <c r="AE1142" s="85" t="s">
        <v>709</v>
      </c>
      <c r="AG1142" s="26" t="s">
        <v>926</v>
      </c>
      <c r="AH1142" s="26" t="s">
        <v>926</v>
      </c>
      <c r="AI1142" s="26" t="s">
        <v>230</v>
      </c>
      <c r="AP1142" s="85" t="s">
        <v>154</v>
      </c>
      <c r="AQ1142" s="85">
        <v>3</v>
      </c>
      <c r="AR1142" s="85">
        <v>3</v>
      </c>
      <c r="AS1142" s="85" t="s">
        <v>404</v>
      </c>
      <c r="AU1142" s="85">
        <v>5720</v>
      </c>
      <c r="AV1142" s="85">
        <v>11</v>
      </c>
      <c r="BK1142" s="85">
        <v>5.9136000000000006</v>
      </c>
      <c r="BL1142" s="85">
        <v>6.370000000000001</v>
      </c>
      <c r="BM1142" s="26" t="s">
        <v>574</v>
      </c>
      <c r="BO1142" s="26"/>
      <c r="DA1142" s="26"/>
      <c r="DC1142" s="26"/>
      <c r="FA1142" s="26" t="s">
        <v>927</v>
      </c>
      <c r="FC1142" s="85">
        <v>53</v>
      </c>
    </row>
    <row r="1143" spans="1:159" s="35" customFormat="1" x14ac:dyDescent="0.25">
      <c r="A1143" s="35">
        <v>53</v>
      </c>
      <c r="B1143" s="35" t="s">
        <v>915</v>
      </c>
      <c r="C1143" s="35" t="s">
        <v>916</v>
      </c>
      <c r="D1143" s="35">
        <v>2006</v>
      </c>
      <c r="E1143" s="35">
        <v>2000</v>
      </c>
      <c r="F1143" s="35" t="s">
        <v>917</v>
      </c>
      <c r="G1143" s="35" t="s">
        <v>918</v>
      </c>
      <c r="H1143" s="35">
        <v>33.950000000000003</v>
      </c>
      <c r="I1143" s="35">
        <v>-83.38</v>
      </c>
      <c r="J1143" s="35">
        <v>208.4</v>
      </c>
      <c r="M1143" s="35">
        <f>278+505</f>
        <v>783</v>
      </c>
      <c r="N1143" s="35">
        <f>588+645</f>
        <v>1233</v>
      </c>
      <c r="P1143" s="54" t="s">
        <v>179</v>
      </c>
      <c r="Q1143" s="54"/>
      <c r="R1143" s="54" t="s">
        <v>928</v>
      </c>
      <c r="S1143" s="54" t="s">
        <v>1673</v>
      </c>
      <c r="T1143" s="54" t="s">
        <v>1654</v>
      </c>
      <c r="V1143" s="35">
        <f t="shared" si="252"/>
        <v>65</v>
      </c>
      <c r="W1143" s="35">
        <f>25</f>
        <v>25</v>
      </c>
      <c r="X1143" s="35" t="s">
        <v>298</v>
      </c>
      <c r="Y1143" s="35">
        <v>6.6</v>
      </c>
      <c r="Z1143" s="35">
        <v>0.88</v>
      </c>
      <c r="AB1143" s="35" t="s">
        <v>1582</v>
      </c>
      <c r="AC1143" s="35" t="s">
        <v>166</v>
      </c>
      <c r="AD1143" s="153" t="str">
        <f t="shared" si="244"/>
        <v>Rye</v>
      </c>
      <c r="AE1143" s="35" t="s">
        <v>709</v>
      </c>
      <c r="AG1143" s="35" t="s">
        <v>926</v>
      </c>
      <c r="AH1143" s="35" t="s">
        <v>926</v>
      </c>
      <c r="AI1143" s="35" t="s">
        <v>230</v>
      </c>
      <c r="AP1143" s="35" t="s">
        <v>154</v>
      </c>
      <c r="AQ1143" s="35">
        <v>3</v>
      </c>
      <c r="AR1143" s="35">
        <v>3</v>
      </c>
      <c r="AS1143" s="35" t="s">
        <v>404</v>
      </c>
      <c r="AU1143" s="35">
        <f>6.07*1000</f>
        <v>6070</v>
      </c>
      <c r="AV1143" s="35">
        <v>29</v>
      </c>
      <c r="BK1143" s="35">
        <v>8.0332000000000008</v>
      </c>
      <c r="BL1143" s="35">
        <v>6.983200000000001</v>
      </c>
      <c r="BM1143" s="35" t="s">
        <v>574</v>
      </c>
      <c r="BO1143" s="26"/>
      <c r="FA1143" s="35" t="s">
        <v>927</v>
      </c>
      <c r="FC1143" s="35">
        <v>53</v>
      </c>
    </row>
    <row r="1144" spans="1:159" s="35" customFormat="1" x14ac:dyDescent="0.25">
      <c r="A1144" s="35">
        <v>53</v>
      </c>
      <c r="B1144" s="35" t="s">
        <v>915</v>
      </c>
      <c r="C1144" s="35" t="s">
        <v>916</v>
      </c>
      <c r="D1144" s="35">
        <v>2006</v>
      </c>
      <c r="E1144" s="35">
        <v>2000</v>
      </c>
      <c r="F1144" s="35" t="s">
        <v>917</v>
      </c>
      <c r="G1144" s="35" t="s">
        <v>918</v>
      </c>
      <c r="H1144" s="35">
        <v>33.950000000000003</v>
      </c>
      <c r="I1144" s="35">
        <v>-83.38</v>
      </c>
      <c r="J1144" s="35">
        <v>208.4</v>
      </c>
      <c r="M1144" s="35">
        <f t="shared" si="253"/>
        <v>783</v>
      </c>
      <c r="N1144" s="35">
        <f t="shared" si="247"/>
        <v>1233</v>
      </c>
      <c r="P1144" s="54" t="s">
        <v>179</v>
      </c>
      <c r="Q1144" s="54"/>
      <c r="R1144" s="54" t="s">
        <v>928</v>
      </c>
      <c r="S1144" s="54" t="s">
        <v>1673</v>
      </c>
      <c r="T1144" s="54" t="s">
        <v>1654</v>
      </c>
      <c r="V1144" s="35">
        <f t="shared" si="252"/>
        <v>65</v>
      </c>
      <c r="W1144" s="35">
        <f>25</f>
        <v>25</v>
      </c>
      <c r="X1144" s="35" t="s">
        <v>298</v>
      </c>
      <c r="Y1144" s="35">
        <v>6.6</v>
      </c>
      <c r="Z1144" s="35">
        <v>0.88</v>
      </c>
      <c r="AB1144" s="35" t="s">
        <v>1582</v>
      </c>
      <c r="AC1144" s="35" t="s">
        <v>301</v>
      </c>
      <c r="AD1144" s="153" t="str">
        <f t="shared" si="244"/>
        <v>Vetch</v>
      </c>
      <c r="AE1144" s="35" t="s">
        <v>709</v>
      </c>
      <c r="AG1144" s="35" t="s">
        <v>926</v>
      </c>
      <c r="AH1144" s="35" t="s">
        <v>926</v>
      </c>
      <c r="AI1144" s="35" t="s">
        <v>230</v>
      </c>
      <c r="AP1144" s="35" t="s">
        <v>154</v>
      </c>
      <c r="AQ1144" s="35">
        <v>3</v>
      </c>
      <c r="AR1144" s="35">
        <v>3</v>
      </c>
      <c r="AS1144" s="35" t="s">
        <v>404</v>
      </c>
      <c r="AU1144" s="35">
        <v>5100</v>
      </c>
      <c r="AV1144" s="35">
        <v>12</v>
      </c>
      <c r="BK1144" s="35">
        <v>8.0332000000000008</v>
      </c>
      <c r="BL1144" s="35">
        <v>10.5448</v>
      </c>
      <c r="BM1144" s="35" t="s">
        <v>574</v>
      </c>
      <c r="BO1144" s="26"/>
      <c r="FA1144" s="35" t="s">
        <v>927</v>
      </c>
      <c r="FC1144" s="35">
        <v>53</v>
      </c>
    </row>
    <row r="1145" spans="1:159" s="35" customFormat="1" x14ac:dyDescent="0.25">
      <c r="A1145" s="35">
        <v>53</v>
      </c>
      <c r="B1145" s="35" t="s">
        <v>915</v>
      </c>
      <c r="C1145" s="35" t="s">
        <v>916</v>
      </c>
      <c r="D1145" s="35">
        <v>2006</v>
      </c>
      <c r="E1145" s="35">
        <v>2000</v>
      </c>
      <c r="F1145" s="35" t="s">
        <v>917</v>
      </c>
      <c r="G1145" s="35" t="s">
        <v>918</v>
      </c>
      <c r="H1145" s="35">
        <v>33.950000000000003</v>
      </c>
      <c r="I1145" s="35">
        <v>-83.38</v>
      </c>
      <c r="J1145" s="35">
        <v>208.4</v>
      </c>
      <c r="M1145" s="35">
        <f t="shared" si="253"/>
        <v>783</v>
      </c>
      <c r="N1145" s="35">
        <f t="shared" si="247"/>
        <v>1233</v>
      </c>
      <c r="P1145" s="54" t="s">
        <v>179</v>
      </c>
      <c r="Q1145" s="54"/>
      <c r="R1145" s="54" t="s">
        <v>928</v>
      </c>
      <c r="S1145" s="54" t="s">
        <v>1673</v>
      </c>
      <c r="T1145" s="54" t="s">
        <v>1654</v>
      </c>
      <c r="V1145" s="35">
        <f t="shared" si="252"/>
        <v>65</v>
      </c>
      <c r="W1145" s="35">
        <f>25</f>
        <v>25</v>
      </c>
      <c r="X1145" s="35" t="s">
        <v>298</v>
      </c>
      <c r="Y1145" s="35">
        <v>6.6</v>
      </c>
      <c r="Z1145" s="35">
        <v>0.88</v>
      </c>
      <c r="AB1145" s="35" t="s">
        <v>1582</v>
      </c>
      <c r="AC1145" s="35" t="s">
        <v>1802</v>
      </c>
      <c r="AD1145" s="153" t="str">
        <f t="shared" si="244"/>
        <v>Rye/Vetch</v>
      </c>
      <c r="AE1145" s="35" t="s">
        <v>709</v>
      </c>
      <c r="AG1145" s="35" t="s">
        <v>926</v>
      </c>
      <c r="AH1145" s="35" t="s">
        <v>926</v>
      </c>
      <c r="AI1145" s="35" t="s">
        <v>230</v>
      </c>
      <c r="AP1145" s="35" t="s">
        <v>154</v>
      </c>
      <c r="AQ1145" s="35">
        <v>3</v>
      </c>
      <c r="AR1145" s="35">
        <v>3</v>
      </c>
      <c r="AS1145" s="35" t="s">
        <v>404</v>
      </c>
      <c r="AU1145" s="35">
        <v>8180</v>
      </c>
      <c r="AV1145" s="35">
        <v>10</v>
      </c>
      <c r="BK1145" s="35">
        <v>8.0332000000000008</v>
      </c>
      <c r="BL1145" s="35">
        <v>8.9012000000000011</v>
      </c>
      <c r="BM1145" s="35" t="s">
        <v>574</v>
      </c>
      <c r="BO1145" s="26"/>
      <c r="FA1145" s="35" t="s">
        <v>927</v>
      </c>
      <c r="FC1145" s="35">
        <v>53</v>
      </c>
    </row>
    <row r="1146" spans="1:159" s="87" customFormat="1" x14ac:dyDescent="0.25">
      <c r="A1146" s="87">
        <v>53</v>
      </c>
      <c r="B1146" s="87" t="s">
        <v>915</v>
      </c>
      <c r="C1146" s="87" t="s">
        <v>916</v>
      </c>
      <c r="D1146" s="87">
        <v>2006</v>
      </c>
      <c r="E1146" s="87">
        <v>2000</v>
      </c>
      <c r="F1146" s="87" t="s">
        <v>917</v>
      </c>
      <c r="G1146" s="87" t="s">
        <v>918</v>
      </c>
      <c r="H1146" s="87">
        <v>33.950000000000003</v>
      </c>
      <c r="I1146" s="87">
        <v>-83.38</v>
      </c>
      <c r="J1146" s="87">
        <v>208.4</v>
      </c>
      <c r="M1146" s="35">
        <f t="shared" si="253"/>
        <v>783</v>
      </c>
      <c r="N1146" s="35">
        <f t="shared" si="247"/>
        <v>1233</v>
      </c>
      <c r="P1146" s="88" t="s">
        <v>179</v>
      </c>
      <c r="Q1146" s="88"/>
      <c r="R1146" s="88" t="s">
        <v>929</v>
      </c>
      <c r="S1146" s="88" t="s">
        <v>1673</v>
      </c>
      <c r="T1146" s="88" t="s">
        <v>1654</v>
      </c>
      <c r="V1146" s="87">
        <f t="shared" si="252"/>
        <v>65</v>
      </c>
      <c r="W1146" s="87">
        <f>25</f>
        <v>25</v>
      </c>
      <c r="X1146" s="87" t="s">
        <v>298</v>
      </c>
      <c r="Y1146" s="87">
        <v>6.6</v>
      </c>
      <c r="Z1146" s="87">
        <v>0.88</v>
      </c>
      <c r="AB1146" s="87" t="s">
        <v>1582</v>
      </c>
      <c r="AC1146" s="87" t="s">
        <v>166</v>
      </c>
      <c r="AD1146" s="153" t="str">
        <f t="shared" si="244"/>
        <v>Rye</v>
      </c>
      <c r="AE1146" s="87" t="s">
        <v>709</v>
      </c>
      <c r="AG1146" s="35" t="s">
        <v>926</v>
      </c>
      <c r="AH1146" s="35" t="s">
        <v>926</v>
      </c>
      <c r="AI1146" s="35" t="s">
        <v>230</v>
      </c>
      <c r="AP1146" s="87" t="s">
        <v>154</v>
      </c>
      <c r="AQ1146" s="87">
        <v>3</v>
      </c>
      <c r="AR1146" s="87">
        <v>3</v>
      </c>
      <c r="AS1146" s="87" t="s">
        <v>404</v>
      </c>
      <c r="AU1146" s="87">
        <v>6070</v>
      </c>
      <c r="AV1146" s="87">
        <v>29</v>
      </c>
      <c r="BK1146" s="87">
        <v>11.583600000000001</v>
      </c>
      <c r="BL1146" s="87">
        <v>11.356800000000002</v>
      </c>
      <c r="BM1146" s="35" t="s">
        <v>574</v>
      </c>
      <c r="BO1146" s="26"/>
      <c r="DA1146" s="35"/>
      <c r="DC1146" s="35"/>
      <c r="FA1146" s="35" t="s">
        <v>927</v>
      </c>
      <c r="FC1146" s="87">
        <v>53</v>
      </c>
    </row>
    <row r="1147" spans="1:159" s="87" customFormat="1" x14ac:dyDescent="0.25">
      <c r="A1147" s="87">
        <v>53</v>
      </c>
      <c r="B1147" s="87" t="s">
        <v>915</v>
      </c>
      <c r="C1147" s="87" t="s">
        <v>916</v>
      </c>
      <c r="D1147" s="87">
        <v>2006</v>
      </c>
      <c r="E1147" s="87">
        <v>2000</v>
      </c>
      <c r="F1147" s="87" t="s">
        <v>917</v>
      </c>
      <c r="G1147" s="87" t="s">
        <v>918</v>
      </c>
      <c r="H1147" s="87">
        <v>33.950000000000003</v>
      </c>
      <c r="I1147" s="87">
        <v>-83.38</v>
      </c>
      <c r="J1147" s="87">
        <v>208.4</v>
      </c>
      <c r="M1147" s="35">
        <f t="shared" si="253"/>
        <v>783</v>
      </c>
      <c r="N1147" s="35">
        <f t="shared" si="247"/>
        <v>1233</v>
      </c>
      <c r="P1147" s="88" t="s">
        <v>179</v>
      </c>
      <c r="Q1147" s="88"/>
      <c r="R1147" s="88" t="s">
        <v>929</v>
      </c>
      <c r="S1147" s="88" t="s">
        <v>1673</v>
      </c>
      <c r="T1147" s="88" t="s">
        <v>1654</v>
      </c>
      <c r="V1147" s="87">
        <f t="shared" si="252"/>
        <v>65</v>
      </c>
      <c r="W1147" s="87">
        <f>25</f>
        <v>25</v>
      </c>
      <c r="X1147" s="87" t="s">
        <v>298</v>
      </c>
      <c r="Y1147" s="87">
        <v>6.6</v>
      </c>
      <c r="Z1147" s="87">
        <v>0.88</v>
      </c>
      <c r="AB1147" s="87" t="s">
        <v>1582</v>
      </c>
      <c r="AC1147" s="87" t="s">
        <v>301</v>
      </c>
      <c r="AD1147" s="153" t="str">
        <f t="shared" si="244"/>
        <v>Vetch</v>
      </c>
      <c r="AE1147" s="87" t="s">
        <v>709</v>
      </c>
      <c r="AG1147" s="35" t="s">
        <v>926</v>
      </c>
      <c r="AH1147" s="35" t="s">
        <v>926</v>
      </c>
      <c r="AI1147" s="35" t="s">
        <v>230</v>
      </c>
      <c r="AP1147" s="87" t="s">
        <v>154</v>
      </c>
      <c r="AQ1147" s="87">
        <v>3</v>
      </c>
      <c r="AR1147" s="87">
        <v>3</v>
      </c>
      <c r="AS1147" s="87" t="s">
        <v>404</v>
      </c>
      <c r="AU1147" s="87">
        <v>5100</v>
      </c>
      <c r="AV1147" s="87">
        <v>12</v>
      </c>
      <c r="BK1147" s="87">
        <v>11.583600000000001</v>
      </c>
      <c r="BL1147" s="87">
        <v>12.544</v>
      </c>
      <c r="BM1147" s="35" t="s">
        <v>574</v>
      </c>
      <c r="BO1147" s="26"/>
      <c r="DA1147" s="35"/>
      <c r="DC1147" s="35"/>
      <c r="FA1147" s="35" t="s">
        <v>927</v>
      </c>
      <c r="FC1147" s="87">
        <v>53</v>
      </c>
    </row>
    <row r="1148" spans="1:159" s="87" customFormat="1" x14ac:dyDescent="0.25">
      <c r="A1148" s="87">
        <v>53</v>
      </c>
      <c r="B1148" s="87" t="s">
        <v>915</v>
      </c>
      <c r="C1148" s="87" t="s">
        <v>916</v>
      </c>
      <c r="D1148" s="87">
        <v>2006</v>
      </c>
      <c r="E1148" s="87">
        <v>2000</v>
      </c>
      <c r="F1148" s="87" t="s">
        <v>917</v>
      </c>
      <c r="G1148" s="87" t="s">
        <v>918</v>
      </c>
      <c r="H1148" s="87">
        <v>33.950000000000003</v>
      </c>
      <c r="I1148" s="87">
        <v>-83.38</v>
      </c>
      <c r="J1148" s="87">
        <v>208.4</v>
      </c>
      <c r="M1148" s="35">
        <f t="shared" si="253"/>
        <v>783</v>
      </c>
      <c r="N1148" s="35">
        <f t="shared" si="247"/>
        <v>1233</v>
      </c>
      <c r="P1148" s="88" t="s">
        <v>179</v>
      </c>
      <c r="Q1148" s="88"/>
      <c r="R1148" s="88" t="s">
        <v>929</v>
      </c>
      <c r="S1148" s="88" t="s">
        <v>1673</v>
      </c>
      <c r="T1148" s="88" t="s">
        <v>1654</v>
      </c>
      <c r="V1148" s="87">
        <f t="shared" si="252"/>
        <v>65</v>
      </c>
      <c r="W1148" s="87">
        <f>25</f>
        <v>25</v>
      </c>
      <c r="X1148" s="87" t="s">
        <v>298</v>
      </c>
      <c r="Y1148" s="87">
        <v>6.6</v>
      </c>
      <c r="Z1148" s="87">
        <v>0.88</v>
      </c>
      <c r="AB1148" s="87" t="s">
        <v>1582</v>
      </c>
      <c r="AC1148" s="87" t="s">
        <v>1802</v>
      </c>
      <c r="AD1148" s="153" t="str">
        <f t="shared" si="244"/>
        <v>Rye/Vetch</v>
      </c>
      <c r="AE1148" s="87" t="s">
        <v>709</v>
      </c>
      <c r="AG1148" s="35" t="s">
        <v>926</v>
      </c>
      <c r="AH1148" s="35" t="s">
        <v>926</v>
      </c>
      <c r="AI1148" s="35" t="s">
        <v>230</v>
      </c>
      <c r="AP1148" s="87" t="s">
        <v>154</v>
      </c>
      <c r="AQ1148" s="87">
        <v>3</v>
      </c>
      <c r="AR1148" s="87">
        <v>3</v>
      </c>
      <c r="AS1148" s="87" t="s">
        <v>404</v>
      </c>
      <c r="AU1148" s="87">
        <v>8180</v>
      </c>
      <c r="AV1148" s="87">
        <v>10</v>
      </c>
      <c r="BK1148" s="87">
        <v>11.583600000000001</v>
      </c>
      <c r="BL1148" s="87">
        <v>11.8132</v>
      </c>
      <c r="BM1148" s="35" t="s">
        <v>574</v>
      </c>
      <c r="BO1148" s="26"/>
      <c r="DA1148" s="35"/>
      <c r="DC1148" s="35"/>
      <c r="FA1148" s="35" t="s">
        <v>927</v>
      </c>
      <c r="FC1148" s="87">
        <v>53</v>
      </c>
    </row>
    <row r="1149" spans="1:159" s="35" customFormat="1" x14ac:dyDescent="0.25">
      <c r="A1149" s="35">
        <v>53</v>
      </c>
      <c r="B1149" s="35" t="s">
        <v>915</v>
      </c>
      <c r="C1149" s="35" t="s">
        <v>916</v>
      </c>
      <c r="D1149" s="35">
        <v>2006</v>
      </c>
      <c r="E1149" s="35">
        <v>2001</v>
      </c>
      <c r="F1149" s="35" t="s">
        <v>917</v>
      </c>
      <c r="G1149" s="35" t="s">
        <v>918</v>
      </c>
      <c r="H1149" s="35">
        <v>33.950000000000003</v>
      </c>
      <c r="I1149" s="35">
        <v>-83.38</v>
      </c>
      <c r="J1149" s="35">
        <v>208.4</v>
      </c>
      <c r="M1149" s="35">
        <v>748</v>
      </c>
      <c r="N1149" s="35">
        <f>588+645</f>
        <v>1233</v>
      </c>
      <c r="P1149" s="54" t="s">
        <v>180</v>
      </c>
      <c r="Q1149" s="54"/>
      <c r="R1149" s="54" t="s">
        <v>928</v>
      </c>
      <c r="S1149" s="54" t="s">
        <v>1673</v>
      </c>
      <c r="T1149" s="54" t="s">
        <v>1654</v>
      </c>
      <c r="V1149" s="35">
        <f t="shared" si="252"/>
        <v>65</v>
      </c>
      <c r="W1149" s="35">
        <f>25</f>
        <v>25</v>
      </c>
      <c r="X1149" s="35" t="s">
        <v>298</v>
      </c>
      <c r="Y1149" s="35">
        <v>6.6</v>
      </c>
      <c r="Z1149" s="35">
        <v>0.88</v>
      </c>
      <c r="AB1149" s="35" t="s">
        <v>1582</v>
      </c>
      <c r="AC1149" s="35" t="s">
        <v>166</v>
      </c>
      <c r="AD1149" s="153" t="str">
        <f t="shared" si="244"/>
        <v>Rye</v>
      </c>
      <c r="AE1149" s="35" t="s">
        <v>709</v>
      </c>
      <c r="AG1149" s="35" t="s">
        <v>926</v>
      </c>
      <c r="AH1149" s="35" t="s">
        <v>926</v>
      </c>
      <c r="AI1149" s="35" t="s">
        <v>230</v>
      </c>
      <c r="AP1149" s="35" t="s">
        <v>154</v>
      </c>
      <c r="AQ1149" s="35">
        <v>3</v>
      </c>
      <c r="AR1149" s="35">
        <v>3</v>
      </c>
      <c r="AS1149" s="35" t="s">
        <v>404</v>
      </c>
      <c r="AU1149" s="35">
        <v>3810</v>
      </c>
      <c r="AV1149" s="35">
        <v>57</v>
      </c>
      <c r="BK1149" s="35">
        <v>8.0108000000000015</v>
      </c>
      <c r="BL1149" s="35">
        <v>8.0108000000000015</v>
      </c>
      <c r="BM1149" s="35" t="s">
        <v>574</v>
      </c>
      <c r="BO1149" s="26"/>
      <c r="FA1149" s="35" t="s">
        <v>927</v>
      </c>
      <c r="FC1149" s="35">
        <v>53</v>
      </c>
    </row>
    <row r="1150" spans="1:159" s="35" customFormat="1" x14ac:dyDescent="0.25">
      <c r="A1150" s="35">
        <v>53</v>
      </c>
      <c r="B1150" s="35" t="s">
        <v>915</v>
      </c>
      <c r="C1150" s="35" t="s">
        <v>916</v>
      </c>
      <c r="D1150" s="35">
        <v>2006</v>
      </c>
      <c r="E1150" s="35">
        <v>2001</v>
      </c>
      <c r="F1150" s="35" t="s">
        <v>917</v>
      </c>
      <c r="G1150" s="35" t="s">
        <v>918</v>
      </c>
      <c r="H1150" s="35">
        <v>33.950000000000003</v>
      </c>
      <c r="I1150" s="35">
        <v>-83.38</v>
      </c>
      <c r="J1150" s="35">
        <v>208.4</v>
      </c>
      <c r="M1150" s="35">
        <v>748</v>
      </c>
      <c r="N1150" s="35">
        <f t="shared" si="247"/>
        <v>1233</v>
      </c>
      <c r="P1150" s="54" t="s">
        <v>180</v>
      </c>
      <c r="Q1150" s="54"/>
      <c r="R1150" s="54" t="s">
        <v>928</v>
      </c>
      <c r="S1150" s="54" t="s">
        <v>1673</v>
      </c>
      <c r="T1150" s="54" t="s">
        <v>1654</v>
      </c>
      <c r="V1150" s="35">
        <f t="shared" si="252"/>
        <v>65</v>
      </c>
      <c r="W1150" s="35">
        <f>25</f>
        <v>25</v>
      </c>
      <c r="X1150" s="35" t="s">
        <v>298</v>
      </c>
      <c r="Y1150" s="35">
        <v>6.6</v>
      </c>
      <c r="Z1150" s="35">
        <v>0.88</v>
      </c>
      <c r="AB1150" s="35" t="s">
        <v>1582</v>
      </c>
      <c r="AC1150" s="35" t="s">
        <v>301</v>
      </c>
      <c r="AD1150" s="153" t="str">
        <f t="shared" si="244"/>
        <v>Vetch</v>
      </c>
      <c r="AE1150" s="35" t="s">
        <v>709</v>
      </c>
      <c r="AG1150" s="35" t="s">
        <v>926</v>
      </c>
      <c r="AH1150" s="35" t="s">
        <v>926</v>
      </c>
      <c r="AI1150" s="35" t="s">
        <v>230</v>
      </c>
      <c r="AP1150" s="35" t="s">
        <v>154</v>
      </c>
      <c r="AQ1150" s="35">
        <v>3</v>
      </c>
      <c r="AR1150" s="35">
        <v>3</v>
      </c>
      <c r="AS1150" s="35" t="s">
        <v>404</v>
      </c>
      <c r="AU1150" s="35">
        <v>2440</v>
      </c>
      <c r="AV1150" s="35">
        <v>12</v>
      </c>
      <c r="BK1150" s="35">
        <v>8.0108000000000015</v>
      </c>
      <c r="BL1150" s="35">
        <v>8.6492000000000004</v>
      </c>
      <c r="BM1150" s="35" t="s">
        <v>574</v>
      </c>
      <c r="BO1150" s="26"/>
      <c r="FA1150" s="35" t="s">
        <v>927</v>
      </c>
      <c r="FC1150" s="35">
        <v>53</v>
      </c>
    </row>
    <row r="1151" spans="1:159" s="35" customFormat="1" x14ac:dyDescent="0.25">
      <c r="A1151" s="35">
        <v>53</v>
      </c>
      <c r="B1151" s="35" t="s">
        <v>915</v>
      </c>
      <c r="C1151" s="35" t="s">
        <v>916</v>
      </c>
      <c r="D1151" s="35">
        <v>2006</v>
      </c>
      <c r="E1151" s="35">
        <v>2001</v>
      </c>
      <c r="F1151" s="35" t="s">
        <v>917</v>
      </c>
      <c r="G1151" s="35" t="s">
        <v>918</v>
      </c>
      <c r="H1151" s="35">
        <v>33.950000000000003</v>
      </c>
      <c r="I1151" s="35">
        <v>-83.38</v>
      </c>
      <c r="J1151" s="35">
        <v>208.4</v>
      </c>
      <c r="M1151" s="35">
        <v>748</v>
      </c>
      <c r="N1151" s="35">
        <f t="shared" si="247"/>
        <v>1233</v>
      </c>
      <c r="P1151" s="54" t="s">
        <v>180</v>
      </c>
      <c r="Q1151" s="54"/>
      <c r="R1151" s="54" t="s">
        <v>928</v>
      </c>
      <c r="S1151" s="54" t="s">
        <v>1673</v>
      </c>
      <c r="T1151" s="54" t="s">
        <v>1654</v>
      </c>
      <c r="V1151" s="35">
        <f t="shared" si="252"/>
        <v>65</v>
      </c>
      <c r="W1151" s="35">
        <f>25</f>
        <v>25</v>
      </c>
      <c r="X1151" s="35" t="s">
        <v>298</v>
      </c>
      <c r="Y1151" s="35">
        <v>6.6</v>
      </c>
      <c r="Z1151" s="35">
        <v>0.88</v>
      </c>
      <c r="AB1151" s="35" t="s">
        <v>1582</v>
      </c>
      <c r="AC1151" s="35" t="s">
        <v>1802</v>
      </c>
      <c r="AD1151" s="153" t="str">
        <f t="shared" si="244"/>
        <v>Rye/Vetch</v>
      </c>
      <c r="AE1151" s="35" t="s">
        <v>709</v>
      </c>
      <c r="AG1151" s="35" t="s">
        <v>926</v>
      </c>
      <c r="AH1151" s="35" t="s">
        <v>926</v>
      </c>
      <c r="AI1151" s="35" t="s">
        <v>230</v>
      </c>
      <c r="AP1151" s="35" t="s">
        <v>154</v>
      </c>
      <c r="AQ1151" s="35">
        <v>3</v>
      </c>
      <c r="AR1151" s="35">
        <v>3</v>
      </c>
      <c r="AS1151" s="35" t="s">
        <v>404</v>
      </c>
      <c r="AU1151" s="35">
        <v>5980</v>
      </c>
      <c r="AV1151" s="35">
        <v>32</v>
      </c>
      <c r="BK1151" s="35">
        <v>8.0108000000000015</v>
      </c>
      <c r="BL1151" s="35">
        <v>8.0108000000000015</v>
      </c>
      <c r="BM1151" s="35" t="s">
        <v>574</v>
      </c>
      <c r="BO1151" s="26"/>
      <c r="FA1151" s="35" t="s">
        <v>927</v>
      </c>
      <c r="FC1151" s="35">
        <v>53</v>
      </c>
    </row>
    <row r="1152" spans="1:159" s="87" customFormat="1" x14ac:dyDescent="0.25">
      <c r="A1152" s="87">
        <v>53</v>
      </c>
      <c r="B1152" s="87" t="s">
        <v>915</v>
      </c>
      <c r="C1152" s="87" t="s">
        <v>916</v>
      </c>
      <c r="D1152" s="87">
        <v>2006</v>
      </c>
      <c r="E1152" s="87">
        <v>2001</v>
      </c>
      <c r="F1152" s="87" t="s">
        <v>917</v>
      </c>
      <c r="G1152" s="87" t="s">
        <v>918</v>
      </c>
      <c r="H1152" s="87">
        <v>33.950000000000003</v>
      </c>
      <c r="I1152" s="87">
        <v>-83.38</v>
      </c>
      <c r="J1152" s="87">
        <v>208.4</v>
      </c>
      <c r="M1152" s="35">
        <v>748</v>
      </c>
      <c r="N1152" s="35">
        <f t="shared" si="247"/>
        <v>1233</v>
      </c>
      <c r="P1152" s="88" t="s">
        <v>180</v>
      </c>
      <c r="Q1152" s="88"/>
      <c r="R1152" s="88" t="s">
        <v>929</v>
      </c>
      <c r="S1152" s="88" t="s">
        <v>1673</v>
      </c>
      <c r="T1152" s="88" t="s">
        <v>1654</v>
      </c>
      <c r="V1152" s="87">
        <f t="shared" si="252"/>
        <v>65</v>
      </c>
      <c r="W1152" s="87">
        <f>25</f>
        <v>25</v>
      </c>
      <c r="X1152" s="87" t="s">
        <v>298</v>
      </c>
      <c r="Y1152" s="87">
        <v>6.6</v>
      </c>
      <c r="Z1152" s="87">
        <v>0.88</v>
      </c>
      <c r="AB1152" s="87" t="s">
        <v>1582</v>
      </c>
      <c r="AC1152" s="87" t="s">
        <v>166</v>
      </c>
      <c r="AD1152" s="153" t="str">
        <f t="shared" si="244"/>
        <v>Rye</v>
      </c>
      <c r="AE1152" s="87" t="s">
        <v>709</v>
      </c>
      <c r="AG1152" s="35" t="s">
        <v>926</v>
      </c>
      <c r="AH1152" s="35" t="s">
        <v>926</v>
      </c>
      <c r="AI1152" s="35" t="s">
        <v>230</v>
      </c>
      <c r="AP1152" s="87" t="s">
        <v>154</v>
      </c>
      <c r="AQ1152" s="87">
        <v>3</v>
      </c>
      <c r="AR1152" s="87">
        <v>3</v>
      </c>
      <c r="AS1152" s="87" t="s">
        <v>404</v>
      </c>
      <c r="AU1152" s="87">
        <v>3810</v>
      </c>
      <c r="AV1152" s="87">
        <v>57</v>
      </c>
      <c r="BK1152" s="87">
        <v>8.4560000000000013</v>
      </c>
      <c r="BL1152" s="87">
        <v>8.4560000000000013</v>
      </c>
      <c r="BM1152" s="35" t="s">
        <v>574</v>
      </c>
      <c r="BO1152" s="26"/>
      <c r="DA1152" s="35"/>
      <c r="DC1152" s="35"/>
      <c r="FA1152" s="35" t="s">
        <v>927</v>
      </c>
      <c r="FC1152" s="87">
        <v>53</v>
      </c>
    </row>
    <row r="1153" spans="1:159" s="87" customFormat="1" x14ac:dyDescent="0.25">
      <c r="A1153" s="87">
        <v>53</v>
      </c>
      <c r="B1153" s="87" t="s">
        <v>915</v>
      </c>
      <c r="C1153" s="87" t="s">
        <v>916</v>
      </c>
      <c r="D1153" s="87">
        <v>2006</v>
      </c>
      <c r="E1153" s="87">
        <v>2001</v>
      </c>
      <c r="F1153" s="87" t="s">
        <v>917</v>
      </c>
      <c r="G1153" s="87" t="s">
        <v>918</v>
      </c>
      <c r="H1153" s="87">
        <v>33.950000000000003</v>
      </c>
      <c r="I1153" s="87">
        <v>-83.38</v>
      </c>
      <c r="J1153" s="87">
        <v>208.4</v>
      </c>
      <c r="M1153" s="35">
        <v>748</v>
      </c>
      <c r="N1153" s="35">
        <f t="shared" si="247"/>
        <v>1233</v>
      </c>
      <c r="P1153" s="88" t="s">
        <v>180</v>
      </c>
      <c r="Q1153" s="88"/>
      <c r="R1153" s="88" t="s">
        <v>929</v>
      </c>
      <c r="S1153" s="88" t="s">
        <v>1673</v>
      </c>
      <c r="T1153" s="88" t="s">
        <v>1654</v>
      </c>
      <c r="V1153" s="87">
        <f t="shared" si="252"/>
        <v>65</v>
      </c>
      <c r="W1153" s="87">
        <f>25</f>
        <v>25</v>
      </c>
      <c r="X1153" s="87" t="s">
        <v>298</v>
      </c>
      <c r="Y1153" s="87">
        <v>6.6</v>
      </c>
      <c r="Z1153" s="87">
        <v>0.88</v>
      </c>
      <c r="AB1153" s="87" t="s">
        <v>1582</v>
      </c>
      <c r="AC1153" s="87" t="s">
        <v>301</v>
      </c>
      <c r="AD1153" s="153" t="str">
        <f t="shared" si="244"/>
        <v>Vetch</v>
      </c>
      <c r="AE1153" s="87" t="s">
        <v>709</v>
      </c>
      <c r="AG1153" s="35" t="s">
        <v>926</v>
      </c>
      <c r="AH1153" s="35" t="s">
        <v>926</v>
      </c>
      <c r="AI1153" s="35" t="s">
        <v>230</v>
      </c>
      <c r="AP1153" s="87" t="s">
        <v>154</v>
      </c>
      <c r="AQ1153" s="87">
        <v>3</v>
      </c>
      <c r="AR1153" s="87">
        <v>3</v>
      </c>
      <c r="AS1153" s="87" t="s">
        <v>404</v>
      </c>
      <c r="AU1153" s="87">
        <v>2440</v>
      </c>
      <c r="AV1153" s="87">
        <v>12</v>
      </c>
      <c r="BK1153" s="87">
        <v>8.4560000000000013</v>
      </c>
      <c r="BL1153" s="87">
        <v>9.7356000000000016</v>
      </c>
      <c r="BM1153" s="35" t="s">
        <v>574</v>
      </c>
      <c r="BO1153" s="26"/>
      <c r="DA1153" s="35"/>
      <c r="DC1153" s="35"/>
      <c r="FA1153" s="35" t="s">
        <v>927</v>
      </c>
      <c r="FC1153" s="87">
        <v>53</v>
      </c>
    </row>
    <row r="1154" spans="1:159" s="87" customFormat="1" x14ac:dyDescent="0.25">
      <c r="A1154" s="87">
        <v>53</v>
      </c>
      <c r="B1154" s="87" t="s">
        <v>915</v>
      </c>
      <c r="C1154" s="87" t="s">
        <v>916</v>
      </c>
      <c r="D1154" s="87">
        <v>2006</v>
      </c>
      <c r="E1154" s="87">
        <v>2001</v>
      </c>
      <c r="F1154" s="87" t="s">
        <v>917</v>
      </c>
      <c r="G1154" s="87" t="s">
        <v>918</v>
      </c>
      <c r="H1154" s="87">
        <v>33.950000000000003</v>
      </c>
      <c r="I1154" s="87">
        <v>-83.38</v>
      </c>
      <c r="J1154" s="87">
        <v>208.4</v>
      </c>
      <c r="M1154" s="35">
        <v>748</v>
      </c>
      <c r="N1154" s="35">
        <f t="shared" si="247"/>
        <v>1233</v>
      </c>
      <c r="P1154" s="88" t="s">
        <v>180</v>
      </c>
      <c r="Q1154" s="88"/>
      <c r="R1154" s="88" t="s">
        <v>929</v>
      </c>
      <c r="S1154" s="88" t="s">
        <v>1673</v>
      </c>
      <c r="T1154" s="88" t="s">
        <v>1654</v>
      </c>
      <c r="V1154" s="87">
        <f t="shared" si="252"/>
        <v>65</v>
      </c>
      <c r="W1154" s="87">
        <f>25</f>
        <v>25</v>
      </c>
      <c r="X1154" s="87" t="s">
        <v>298</v>
      </c>
      <c r="Y1154" s="87">
        <v>6.6</v>
      </c>
      <c r="Z1154" s="87">
        <v>0.88</v>
      </c>
      <c r="AB1154" s="87" t="s">
        <v>1582</v>
      </c>
      <c r="AC1154" s="87" t="s">
        <v>1802</v>
      </c>
      <c r="AD1154" s="153" t="str">
        <f t="shared" si="244"/>
        <v>Rye/Vetch</v>
      </c>
      <c r="AE1154" s="87" t="s">
        <v>709</v>
      </c>
      <c r="AG1154" s="35" t="s">
        <v>926</v>
      </c>
      <c r="AH1154" s="35" t="s">
        <v>926</v>
      </c>
      <c r="AI1154" s="35" t="s">
        <v>230</v>
      </c>
      <c r="AP1154" s="87" t="s">
        <v>154</v>
      </c>
      <c r="AQ1154" s="87">
        <v>3</v>
      </c>
      <c r="AR1154" s="87">
        <v>3</v>
      </c>
      <c r="AS1154" s="87" t="s">
        <v>404</v>
      </c>
      <c r="AU1154" s="87">
        <v>5980</v>
      </c>
      <c r="AV1154" s="87">
        <v>32</v>
      </c>
      <c r="BK1154" s="87">
        <v>8.4560000000000013</v>
      </c>
      <c r="BL1154" s="87">
        <v>9.0944000000000003</v>
      </c>
      <c r="BM1154" s="35" t="s">
        <v>574</v>
      </c>
      <c r="BO1154" s="26"/>
      <c r="DA1154" s="35"/>
      <c r="DC1154" s="35"/>
      <c r="FA1154" s="35" t="s">
        <v>927</v>
      </c>
      <c r="FC1154" s="87">
        <v>53</v>
      </c>
    </row>
    <row r="1155" spans="1:159" s="35" customFormat="1" x14ac:dyDescent="0.25">
      <c r="A1155" s="35">
        <v>53</v>
      </c>
      <c r="B1155" s="35" t="s">
        <v>915</v>
      </c>
      <c r="C1155" s="35" t="s">
        <v>916</v>
      </c>
      <c r="D1155" s="35">
        <v>2006</v>
      </c>
      <c r="E1155" s="35">
        <v>2002</v>
      </c>
      <c r="F1155" s="35" t="s">
        <v>917</v>
      </c>
      <c r="G1155" s="35" t="s">
        <v>918</v>
      </c>
      <c r="H1155" s="35">
        <v>33.950000000000003</v>
      </c>
      <c r="I1155" s="35">
        <v>-83.38</v>
      </c>
      <c r="J1155" s="35">
        <v>208.4</v>
      </c>
      <c r="M1155" s="35">
        <v>971</v>
      </c>
      <c r="N1155" s="35">
        <f>588+645</f>
        <v>1233</v>
      </c>
      <c r="P1155" s="54" t="s">
        <v>181</v>
      </c>
      <c r="Q1155" s="54"/>
      <c r="R1155" s="54" t="s">
        <v>928</v>
      </c>
      <c r="S1155" s="54" t="s">
        <v>1673</v>
      </c>
      <c r="T1155" s="54" t="s">
        <v>1654</v>
      </c>
      <c r="V1155" s="35">
        <f t="shared" si="252"/>
        <v>65</v>
      </c>
      <c r="W1155" s="35">
        <f>25</f>
        <v>25</v>
      </c>
      <c r="X1155" s="35" t="s">
        <v>298</v>
      </c>
      <c r="Y1155" s="35">
        <v>6.6</v>
      </c>
      <c r="Z1155" s="35">
        <v>0.88</v>
      </c>
      <c r="AB1155" s="35" t="s">
        <v>1582</v>
      </c>
      <c r="AC1155" s="35" t="s">
        <v>166</v>
      </c>
      <c r="AD1155" s="153" t="str">
        <f t="shared" ref="AD1155:AD1218" si="254">IF(OR(AC1155="*Rye",AC1155="Rye*",AC1155="Downy_brome"),"Rye",IF(OR(AC1155="*Oat",AC1155="Oat*",AC1155="Trudan_8",AC1155="*Wheat",AC1155="Wheat*",AC1155="Barley*",AC1155="Hemp",AC1155="Hemp",AC1155="Triticale*",AC1155="Grass",AC1155="Millet"),"Grass",IF(OR(AC1155="*clover",AC1155="clover*",AC1155="Vetch*",AC1155="Vetch*",AC1155="Alfalfa",AC1155="Soybean",AC1155="*Lentil",AC1155="Lentil*",AC1155="*Pea",AC1155="Pea*",AC1155="Lupine"),"Legume",AC1155)))</f>
        <v>Rye</v>
      </c>
      <c r="AE1155" s="35" t="s">
        <v>709</v>
      </c>
      <c r="AG1155" s="35" t="s">
        <v>926</v>
      </c>
      <c r="AH1155" s="35" t="s">
        <v>926</v>
      </c>
      <c r="AI1155" s="35" t="s">
        <v>230</v>
      </c>
      <c r="AP1155" s="35" t="s">
        <v>154</v>
      </c>
      <c r="AQ1155" s="35">
        <v>3</v>
      </c>
      <c r="AR1155" s="35">
        <v>3</v>
      </c>
      <c r="AS1155" s="35" t="s">
        <v>404</v>
      </c>
      <c r="AU1155" s="35">
        <v>2280</v>
      </c>
      <c r="AV1155" s="35">
        <v>40</v>
      </c>
      <c r="BK1155" s="35">
        <v>7.7588000000000008</v>
      </c>
      <c r="BL1155" s="35">
        <v>7.7560000000000002</v>
      </c>
      <c r="BM1155" s="35" t="s">
        <v>574</v>
      </c>
      <c r="BO1155" s="26"/>
      <c r="FA1155" s="35" t="s">
        <v>927</v>
      </c>
      <c r="FC1155" s="35">
        <v>53</v>
      </c>
    </row>
    <row r="1156" spans="1:159" s="35" customFormat="1" x14ac:dyDescent="0.25">
      <c r="A1156" s="35">
        <v>53</v>
      </c>
      <c r="B1156" s="35" t="s">
        <v>915</v>
      </c>
      <c r="C1156" s="35" t="s">
        <v>916</v>
      </c>
      <c r="D1156" s="35">
        <v>2006</v>
      </c>
      <c r="E1156" s="35">
        <v>2002</v>
      </c>
      <c r="F1156" s="35" t="s">
        <v>917</v>
      </c>
      <c r="G1156" s="35" t="s">
        <v>918</v>
      </c>
      <c r="H1156" s="35">
        <v>33.950000000000003</v>
      </c>
      <c r="I1156" s="35">
        <v>-83.38</v>
      </c>
      <c r="J1156" s="35">
        <v>208.4</v>
      </c>
      <c r="M1156" s="35">
        <v>971</v>
      </c>
      <c r="N1156" s="35">
        <f t="shared" si="247"/>
        <v>1233</v>
      </c>
      <c r="P1156" s="54" t="s">
        <v>181</v>
      </c>
      <c r="Q1156" s="54"/>
      <c r="R1156" s="54" t="s">
        <v>928</v>
      </c>
      <c r="S1156" s="54" t="s">
        <v>1673</v>
      </c>
      <c r="T1156" s="54" t="s">
        <v>1654</v>
      </c>
      <c r="V1156" s="35">
        <f t="shared" si="252"/>
        <v>65</v>
      </c>
      <c r="W1156" s="35">
        <f>25</f>
        <v>25</v>
      </c>
      <c r="X1156" s="35" t="s">
        <v>298</v>
      </c>
      <c r="Y1156" s="35">
        <v>6.6</v>
      </c>
      <c r="Z1156" s="35">
        <v>0.88</v>
      </c>
      <c r="AB1156" s="35" t="s">
        <v>1582</v>
      </c>
      <c r="AC1156" s="35" t="s">
        <v>301</v>
      </c>
      <c r="AD1156" s="153" t="str">
        <f t="shared" si="254"/>
        <v>Vetch</v>
      </c>
      <c r="AE1156" s="35" t="s">
        <v>709</v>
      </c>
      <c r="AG1156" s="35" t="s">
        <v>926</v>
      </c>
      <c r="AH1156" s="35" t="s">
        <v>926</v>
      </c>
      <c r="AI1156" s="35" t="s">
        <v>230</v>
      </c>
      <c r="AP1156" s="35" t="s">
        <v>154</v>
      </c>
      <c r="AQ1156" s="35">
        <v>3</v>
      </c>
      <c r="AR1156" s="35">
        <v>3</v>
      </c>
      <c r="AS1156" s="35" t="s">
        <v>404</v>
      </c>
      <c r="AU1156" s="35">
        <v>5160</v>
      </c>
      <c r="AV1156" s="35">
        <v>10</v>
      </c>
      <c r="BK1156" s="35">
        <v>7.7588000000000008</v>
      </c>
      <c r="BL1156" s="35">
        <v>9.5872000000000011</v>
      </c>
      <c r="BM1156" s="35" t="s">
        <v>574</v>
      </c>
      <c r="BO1156" s="26"/>
      <c r="FA1156" s="35" t="s">
        <v>927</v>
      </c>
      <c r="FC1156" s="35">
        <v>53</v>
      </c>
    </row>
    <row r="1157" spans="1:159" s="35" customFormat="1" x14ac:dyDescent="0.25">
      <c r="A1157" s="35">
        <v>53</v>
      </c>
      <c r="B1157" s="35" t="s">
        <v>915</v>
      </c>
      <c r="C1157" s="35" t="s">
        <v>916</v>
      </c>
      <c r="D1157" s="35">
        <v>2006</v>
      </c>
      <c r="E1157" s="35">
        <v>2002</v>
      </c>
      <c r="F1157" s="35" t="s">
        <v>917</v>
      </c>
      <c r="G1157" s="35" t="s">
        <v>918</v>
      </c>
      <c r="H1157" s="35">
        <v>33.950000000000003</v>
      </c>
      <c r="I1157" s="35">
        <v>-83.38</v>
      </c>
      <c r="J1157" s="35">
        <v>208.4</v>
      </c>
      <c r="M1157" s="35">
        <v>971</v>
      </c>
      <c r="N1157" s="35">
        <f t="shared" ref="N1157:N1160" si="255">588+645</f>
        <v>1233</v>
      </c>
      <c r="P1157" s="54" t="s">
        <v>181</v>
      </c>
      <c r="Q1157" s="54"/>
      <c r="R1157" s="54" t="s">
        <v>928</v>
      </c>
      <c r="S1157" s="54" t="s">
        <v>1673</v>
      </c>
      <c r="T1157" s="54" t="s">
        <v>1654</v>
      </c>
      <c r="V1157" s="35">
        <f t="shared" si="252"/>
        <v>65</v>
      </c>
      <c r="W1157" s="35">
        <f>25</f>
        <v>25</v>
      </c>
      <c r="X1157" s="35" t="s">
        <v>298</v>
      </c>
      <c r="Y1157" s="35">
        <v>6.6</v>
      </c>
      <c r="Z1157" s="35">
        <v>0.88</v>
      </c>
      <c r="AB1157" s="35" t="s">
        <v>1582</v>
      </c>
      <c r="AC1157" s="35" t="s">
        <v>1802</v>
      </c>
      <c r="AD1157" s="153" t="str">
        <f t="shared" si="254"/>
        <v>Rye/Vetch</v>
      </c>
      <c r="AE1157" s="35" t="s">
        <v>709</v>
      </c>
      <c r="AG1157" s="35" t="s">
        <v>926</v>
      </c>
      <c r="AH1157" s="35" t="s">
        <v>926</v>
      </c>
      <c r="AI1157" s="35" t="s">
        <v>230</v>
      </c>
      <c r="AP1157" s="35" t="s">
        <v>154</v>
      </c>
      <c r="AQ1157" s="35">
        <v>3</v>
      </c>
      <c r="AR1157" s="35">
        <v>3</v>
      </c>
      <c r="AS1157" s="35" t="s">
        <v>404</v>
      </c>
      <c r="AU1157" s="35">
        <v>5720</v>
      </c>
      <c r="AV1157" s="35">
        <v>11</v>
      </c>
      <c r="BK1157" s="35">
        <v>7.7588000000000008</v>
      </c>
      <c r="BL1157" s="35">
        <v>8.6268000000000011</v>
      </c>
      <c r="BM1157" s="35" t="s">
        <v>574</v>
      </c>
      <c r="BO1157" s="26"/>
      <c r="FA1157" s="35" t="s">
        <v>927</v>
      </c>
      <c r="FC1157" s="35">
        <v>53</v>
      </c>
    </row>
    <row r="1158" spans="1:159" s="87" customFormat="1" x14ac:dyDescent="0.25">
      <c r="A1158" s="87">
        <v>53</v>
      </c>
      <c r="B1158" s="87" t="s">
        <v>915</v>
      </c>
      <c r="C1158" s="87" t="s">
        <v>916</v>
      </c>
      <c r="D1158" s="87">
        <v>2006</v>
      </c>
      <c r="E1158" s="87">
        <v>2002</v>
      </c>
      <c r="F1158" s="87" t="s">
        <v>917</v>
      </c>
      <c r="G1158" s="87" t="s">
        <v>918</v>
      </c>
      <c r="H1158" s="87">
        <v>33.950000000000003</v>
      </c>
      <c r="I1158" s="87">
        <v>-83.38</v>
      </c>
      <c r="J1158" s="87">
        <v>208.4</v>
      </c>
      <c r="M1158" s="35">
        <v>971</v>
      </c>
      <c r="N1158" s="35">
        <f t="shared" si="255"/>
        <v>1233</v>
      </c>
      <c r="P1158" s="88" t="s">
        <v>181</v>
      </c>
      <c r="Q1158" s="88"/>
      <c r="R1158" s="88" t="s">
        <v>929</v>
      </c>
      <c r="S1158" s="88" t="s">
        <v>1673</v>
      </c>
      <c r="T1158" s="88" t="s">
        <v>1654</v>
      </c>
      <c r="V1158" s="87">
        <f t="shared" si="252"/>
        <v>65</v>
      </c>
      <c r="W1158" s="87">
        <f>25</f>
        <v>25</v>
      </c>
      <c r="X1158" s="87" t="s">
        <v>298</v>
      </c>
      <c r="Y1158" s="87">
        <v>6.6</v>
      </c>
      <c r="Z1158" s="87">
        <v>0.88</v>
      </c>
      <c r="AB1158" s="87" t="s">
        <v>1582</v>
      </c>
      <c r="AC1158" s="87" t="s">
        <v>166</v>
      </c>
      <c r="AD1158" s="153" t="str">
        <f t="shared" si="254"/>
        <v>Rye</v>
      </c>
      <c r="AE1158" s="87" t="s">
        <v>709</v>
      </c>
      <c r="AG1158" s="35" t="s">
        <v>926</v>
      </c>
      <c r="AH1158" s="35" t="s">
        <v>926</v>
      </c>
      <c r="AI1158" s="35" t="s">
        <v>230</v>
      </c>
      <c r="AP1158" s="87" t="s">
        <v>154</v>
      </c>
      <c r="AQ1158" s="87">
        <v>3</v>
      </c>
      <c r="AR1158" s="87">
        <v>3</v>
      </c>
      <c r="AS1158" s="87" t="s">
        <v>404</v>
      </c>
      <c r="AU1158" s="87">
        <v>2280</v>
      </c>
      <c r="AV1158" s="87">
        <v>40</v>
      </c>
      <c r="BK1158" s="87">
        <v>11.538800000000002</v>
      </c>
      <c r="BL1158" s="87">
        <v>13.367200000000002</v>
      </c>
      <c r="BM1158" s="35" t="s">
        <v>574</v>
      </c>
      <c r="BO1158" s="26"/>
      <c r="DA1158" s="35"/>
      <c r="DC1158" s="35"/>
      <c r="FA1158" s="35" t="s">
        <v>927</v>
      </c>
      <c r="FC1158" s="87">
        <v>53</v>
      </c>
    </row>
    <row r="1159" spans="1:159" s="87" customFormat="1" x14ac:dyDescent="0.25">
      <c r="A1159" s="87">
        <v>53</v>
      </c>
      <c r="B1159" s="87" t="s">
        <v>915</v>
      </c>
      <c r="C1159" s="87" t="s">
        <v>916</v>
      </c>
      <c r="D1159" s="87">
        <v>2006</v>
      </c>
      <c r="E1159" s="87">
        <v>2002</v>
      </c>
      <c r="F1159" s="87" t="s">
        <v>917</v>
      </c>
      <c r="G1159" s="87" t="s">
        <v>918</v>
      </c>
      <c r="H1159" s="87">
        <v>33.950000000000003</v>
      </c>
      <c r="I1159" s="87">
        <v>-83.38</v>
      </c>
      <c r="J1159" s="87">
        <v>208.4</v>
      </c>
      <c r="M1159" s="35">
        <v>971</v>
      </c>
      <c r="N1159" s="35">
        <f t="shared" si="255"/>
        <v>1233</v>
      </c>
      <c r="P1159" s="88" t="s">
        <v>181</v>
      </c>
      <c r="Q1159" s="88"/>
      <c r="R1159" s="88" t="s">
        <v>929</v>
      </c>
      <c r="S1159" s="88" t="s">
        <v>1673</v>
      </c>
      <c r="T1159" s="88" t="s">
        <v>1654</v>
      </c>
      <c r="V1159" s="87">
        <f t="shared" si="252"/>
        <v>65</v>
      </c>
      <c r="W1159" s="87">
        <f>25</f>
        <v>25</v>
      </c>
      <c r="X1159" s="87" t="s">
        <v>298</v>
      </c>
      <c r="Y1159" s="87">
        <v>6.6</v>
      </c>
      <c r="Z1159" s="87">
        <v>0.88</v>
      </c>
      <c r="AB1159" s="87" t="s">
        <v>1582</v>
      </c>
      <c r="AC1159" s="87" t="s">
        <v>301</v>
      </c>
      <c r="AD1159" s="153" t="str">
        <f t="shared" si="254"/>
        <v>Vetch</v>
      </c>
      <c r="AE1159" s="87" t="s">
        <v>709</v>
      </c>
      <c r="AG1159" s="35" t="s">
        <v>926</v>
      </c>
      <c r="AH1159" s="35" t="s">
        <v>926</v>
      </c>
      <c r="AI1159" s="35" t="s">
        <v>230</v>
      </c>
      <c r="AP1159" s="87" t="s">
        <v>154</v>
      </c>
      <c r="AQ1159" s="87">
        <v>3</v>
      </c>
      <c r="AR1159" s="87">
        <v>3</v>
      </c>
      <c r="AS1159" s="87" t="s">
        <v>404</v>
      </c>
      <c r="AU1159" s="87">
        <v>5160</v>
      </c>
      <c r="AV1159" s="87">
        <v>10</v>
      </c>
      <c r="BK1159" s="87">
        <v>11.538800000000002</v>
      </c>
      <c r="BL1159" s="87">
        <v>12.908000000000001</v>
      </c>
      <c r="BM1159" s="35" t="s">
        <v>574</v>
      </c>
      <c r="BO1159" s="26"/>
      <c r="DA1159" s="35"/>
      <c r="DC1159" s="35"/>
      <c r="FA1159" s="35" t="s">
        <v>927</v>
      </c>
      <c r="FC1159" s="87">
        <v>53</v>
      </c>
    </row>
    <row r="1160" spans="1:159" s="87" customFormat="1" x14ac:dyDescent="0.25">
      <c r="A1160" s="87">
        <v>53</v>
      </c>
      <c r="B1160" s="87" t="s">
        <v>915</v>
      </c>
      <c r="C1160" s="87" t="s">
        <v>916</v>
      </c>
      <c r="D1160" s="87">
        <v>2006</v>
      </c>
      <c r="E1160" s="87">
        <v>2002</v>
      </c>
      <c r="F1160" s="87" t="s">
        <v>917</v>
      </c>
      <c r="G1160" s="87" t="s">
        <v>918</v>
      </c>
      <c r="H1160" s="87">
        <v>33.950000000000003</v>
      </c>
      <c r="I1160" s="87">
        <v>-83.38</v>
      </c>
      <c r="J1160" s="87">
        <v>208.4</v>
      </c>
      <c r="M1160" s="35">
        <v>971</v>
      </c>
      <c r="N1160" s="35">
        <f t="shared" si="255"/>
        <v>1233</v>
      </c>
      <c r="P1160" s="88" t="s">
        <v>181</v>
      </c>
      <c r="Q1160" s="88"/>
      <c r="R1160" s="88" t="s">
        <v>929</v>
      </c>
      <c r="S1160" s="88" t="s">
        <v>1673</v>
      </c>
      <c r="T1160" s="88" t="s">
        <v>1654</v>
      </c>
      <c r="V1160" s="87">
        <f t="shared" si="252"/>
        <v>65</v>
      </c>
      <c r="W1160" s="87">
        <f>25</f>
        <v>25</v>
      </c>
      <c r="X1160" s="87" t="s">
        <v>298</v>
      </c>
      <c r="Y1160" s="87">
        <v>6.6</v>
      </c>
      <c r="Z1160" s="87">
        <v>0.88</v>
      </c>
      <c r="AB1160" s="87" t="s">
        <v>1582</v>
      </c>
      <c r="AC1160" s="87" t="s">
        <v>1802</v>
      </c>
      <c r="AD1160" s="153" t="str">
        <f t="shared" si="254"/>
        <v>Rye/Vetch</v>
      </c>
      <c r="AE1160" s="87" t="s">
        <v>709</v>
      </c>
      <c r="AG1160" s="35" t="s">
        <v>926</v>
      </c>
      <c r="AH1160" s="35" t="s">
        <v>926</v>
      </c>
      <c r="AI1160" s="35" t="s">
        <v>230</v>
      </c>
      <c r="AP1160" s="87" t="s">
        <v>154</v>
      </c>
      <c r="AQ1160" s="87">
        <v>3</v>
      </c>
      <c r="AR1160" s="87">
        <v>3</v>
      </c>
      <c r="AS1160" s="87" t="s">
        <v>404</v>
      </c>
      <c r="AU1160" s="87">
        <v>5720</v>
      </c>
      <c r="AV1160" s="87">
        <v>11</v>
      </c>
      <c r="BK1160" s="87">
        <v>11.538800000000002</v>
      </c>
      <c r="BL1160" s="87">
        <v>12.177200000000001</v>
      </c>
      <c r="BM1160" s="35" t="s">
        <v>574</v>
      </c>
      <c r="BO1160" s="26"/>
      <c r="DA1160" s="35"/>
      <c r="DC1160" s="35"/>
      <c r="FA1160" s="35" t="s">
        <v>927</v>
      </c>
      <c r="FC1160" s="87">
        <v>53</v>
      </c>
    </row>
    <row r="1161" spans="1:159" x14ac:dyDescent="0.25">
      <c r="A1161" s="46">
        <v>54</v>
      </c>
      <c r="B1161" s="46" t="s">
        <v>930</v>
      </c>
      <c r="C1161" s="46" t="s">
        <v>931</v>
      </c>
      <c r="D1161" s="46">
        <v>2014</v>
      </c>
      <c r="E1161" s="46">
        <v>2012</v>
      </c>
      <c r="F1161" s="46" t="s">
        <v>932</v>
      </c>
      <c r="G1161" s="46" t="s">
        <v>364</v>
      </c>
      <c r="H1161" s="46">
        <v>40.733333333333334</v>
      </c>
      <c r="I1161" s="46">
        <v>-77.95</v>
      </c>
      <c r="J1161" s="46">
        <v>375.2</v>
      </c>
      <c r="S1161" s="81" t="s">
        <v>1640</v>
      </c>
      <c r="T1161" s="81" t="s">
        <v>1640</v>
      </c>
      <c r="X1161" s="46" t="s">
        <v>168</v>
      </c>
      <c r="AC1161" s="46" t="s">
        <v>166</v>
      </c>
      <c r="AD1161" s="153" t="str">
        <f t="shared" si="254"/>
        <v>Rye</v>
      </c>
      <c r="AE1161" s="46" t="s">
        <v>205</v>
      </c>
      <c r="AG1161" s="46" t="s">
        <v>933</v>
      </c>
      <c r="AH1161" s="46" t="s">
        <v>933</v>
      </c>
      <c r="AI1161" s="46" t="s">
        <v>230</v>
      </c>
      <c r="AP1161" s="46" t="s">
        <v>208</v>
      </c>
      <c r="AX1161" s="46" t="s">
        <v>934</v>
      </c>
      <c r="BB1161" s="46">
        <v>3100</v>
      </c>
      <c r="BC1161" s="46">
        <v>3100</v>
      </c>
      <c r="EY1161" s="46">
        <v>99999</v>
      </c>
      <c r="FA1161" s="46" t="s">
        <v>935</v>
      </c>
      <c r="FC1161" s="46">
        <v>54</v>
      </c>
    </row>
    <row r="1162" spans="1:159" x14ac:dyDescent="0.25">
      <c r="A1162" s="46">
        <v>54</v>
      </c>
      <c r="B1162" s="46" t="s">
        <v>930</v>
      </c>
      <c r="C1162" s="46" t="s">
        <v>931</v>
      </c>
      <c r="D1162" s="46">
        <v>2014</v>
      </c>
      <c r="E1162" s="46">
        <v>2012</v>
      </c>
      <c r="F1162" s="46" t="s">
        <v>932</v>
      </c>
      <c r="G1162" s="46" t="s">
        <v>364</v>
      </c>
      <c r="H1162" s="46">
        <v>40.733333333333334</v>
      </c>
      <c r="I1162" s="46">
        <v>-77.95</v>
      </c>
      <c r="J1162" s="46">
        <v>375.2</v>
      </c>
      <c r="S1162" s="81" t="s">
        <v>1640</v>
      </c>
      <c r="T1162" s="81" t="s">
        <v>1640</v>
      </c>
      <c r="X1162" s="46" t="s">
        <v>168</v>
      </c>
      <c r="AC1162" s="46" t="s">
        <v>166</v>
      </c>
      <c r="AD1162" s="153" t="str">
        <f t="shared" si="254"/>
        <v>Rye</v>
      </c>
      <c r="AE1162" s="46" t="s">
        <v>150</v>
      </c>
      <c r="AG1162" s="46" t="s">
        <v>933</v>
      </c>
      <c r="AH1162" s="46" t="s">
        <v>933</v>
      </c>
      <c r="AI1162" s="46" t="s">
        <v>230</v>
      </c>
      <c r="AP1162" s="46" t="s">
        <v>208</v>
      </c>
      <c r="AX1162" s="46" t="s">
        <v>934</v>
      </c>
      <c r="BB1162" s="46">
        <v>5900</v>
      </c>
      <c r="BC1162" s="46">
        <v>5800</v>
      </c>
      <c r="EY1162" s="46">
        <v>99999</v>
      </c>
      <c r="FA1162" s="46" t="s">
        <v>935</v>
      </c>
      <c r="FC1162" s="46">
        <v>54</v>
      </c>
    </row>
    <row r="1163" spans="1:159" x14ac:dyDescent="0.25">
      <c r="A1163" s="46">
        <v>54</v>
      </c>
      <c r="B1163" s="46" t="s">
        <v>930</v>
      </c>
      <c r="C1163" s="46" t="s">
        <v>931</v>
      </c>
      <c r="D1163" s="46">
        <v>2014</v>
      </c>
      <c r="E1163" s="46">
        <v>2012</v>
      </c>
      <c r="F1163" s="46" t="s">
        <v>932</v>
      </c>
      <c r="G1163" s="46" t="s">
        <v>364</v>
      </c>
      <c r="H1163" s="46">
        <v>40.733333333333334</v>
      </c>
      <c r="I1163" s="46">
        <v>-77.95</v>
      </c>
      <c r="J1163" s="46">
        <v>375.2</v>
      </c>
      <c r="S1163" s="81" t="s">
        <v>1640</v>
      </c>
      <c r="T1163" s="81" t="s">
        <v>1640</v>
      </c>
      <c r="X1163" s="46" t="s">
        <v>168</v>
      </c>
      <c r="AC1163" s="46" t="s">
        <v>166</v>
      </c>
      <c r="AD1163" s="153" t="str">
        <f t="shared" si="254"/>
        <v>Rye</v>
      </c>
      <c r="AE1163" s="46" t="s">
        <v>167</v>
      </c>
      <c r="AG1163" s="46" t="s">
        <v>933</v>
      </c>
      <c r="AH1163" s="46" t="s">
        <v>933</v>
      </c>
      <c r="AI1163" s="46" t="s">
        <v>230</v>
      </c>
      <c r="AP1163" s="46" t="s">
        <v>208</v>
      </c>
      <c r="AX1163" s="46" t="s">
        <v>934</v>
      </c>
      <c r="BB1163" s="46">
        <v>8200</v>
      </c>
      <c r="BC1163" s="46">
        <v>8100</v>
      </c>
      <c r="EY1163" s="46">
        <v>99999</v>
      </c>
      <c r="FA1163" s="46" t="s">
        <v>935</v>
      </c>
      <c r="FC1163" s="46">
        <v>54</v>
      </c>
    </row>
    <row r="1164" spans="1:159" s="26" customFormat="1" x14ac:dyDescent="0.25">
      <c r="A1164" s="26">
        <v>55</v>
      </c>
      <c r="B1164" s="26" t="s">
        <v>937</v>
      </c>
      <c r="C1164" s="26" t="s">
        <v>938</v>
      </c>
      <c r="D1164" s="26">
        <v>2001</v>
      </c>
      <c r="E1164" s="26">
        <v>1997</v>
      </c>
      <c r="F1164" s="26" t="s">
        <v>943</v>
      </c>
      <c r="G1164" s="26" t="s">
        <v>939</v>
      </c>
      <c r="H1164" s="26">
        <v>45.23</v>
      </c>
      <c r="I1164" s="26">
        <v>-122.756</v>
      </c>
      <c r="J1164" s="26">
        <v>48.4</v>
      </c>
      <c r="P1164" s="52" t="s">
        <v>179</v>
      </c>
      <c r="Q1164" s="52"/>
      <c r="R1164" s="52"/>
      <c r="S1164" s="52" t="s">
        <v>1645</v>
      </c>
      <c r="T1164" s="52" t="s">
        <v>1645</v>
      </c>
      <c r="V1164" s="26">
        <v>28</v>
      </c>
      <c r="W1164" s="26">
        <v>54</v>
      </c>
      <c r="X1164" s="26" t="s">
        <v>945</v>
      </c>
      <c r="Y1164" s="26">
        <v>5.4</v>
      </c>
      <c r="Z1164" s="26">
        <v>1.71</v>
      </c>
      <c r="AB1164" s="26" t="s">
        <v>1583</v>
      </c>
      <c r="AC1164" s="26" t="s">
        <v>940</v>
      </c>
      <c r="AD1164" s="153" t="str">
        <f t="shared" si="254"/>
        <v>Triticale</v>
      </c>
      <c r="AE1164" s="26" t="s">
        <v>768</v>
      </c>
      <c r="AG1164" s="26" t="s">
        <v>948</v>
      </c>
      <c r="AH1164" s="26" t="s">
        <v>948</v>
      </c>
      <c r="AI1164" s="26" t="s">
        <v>230</v>
      </c>
      <c r="AP1164" s="26" t="s">
        <v>154</v>
      </c>
      <c r="AQ1164" s="26">
        <v>4</v>
      </c>
      <c r="AR1164" s="26">
        <v>4</v>
      </c>
      <c r="AS1164" s="26" t="s">
        <v>177</v>
      </c>
      <c r="DS1164" s="26">
        <v>0.96</v>
      </c>
      <c r="DT1164" s="26">
        <v>1.1200000000000001</v>
      </c>
      <c r="DU1164" s="26" t="s">
        <v>952</v>
      </c>
      <c r="FA1164" s="26" t="s">
        <v>953</v>
      </c>
      <c r="FC1164" s="26">
        <v>55</v>
      </c>
    </row>
    <row r="1165" spans="1:159" s="26" customFormat="1" x14ac:dyDescent="0.25">
      <c r="A1165" s="26">
        <v>55</v>
      </c>
      <c r="B1165" s="26" t="s">
        <v>937</v>
      </c>
      <c r="C1165" s="26" t="s">
        <v>938</v>
      </c>
      <c r="D1165" s="26">
        <v>2001</v>
      </c>
      <c r="E1165" s="26">
        <v>1997</v>
      </c>
      <c r="F1165" s="26" t="s">
        <v>943</v>
      </c>
      <c r="G1165" s="26" t="s">
        <v>939</v>
      </c>
      <c r="H1165" s="26">
        <v>45.23</v>
      </c>
      <c r="I1165" s="26">
        <v>-122.756</v>
      </c>
      <c r="J1165" s="26">
        <v>48.4</v>
      </c>
      <c r="P1165" s="52" t="s">
        <v>179</v>
      </c>
      <c r="Q1165" s="52"/>
      <c r="R1165" s="52"/>
      <c r="S1165" s="52" t="s">
        <v>1645</v>
      </c>
      <c r="T1165" s="52" t="s">
        <v>1645</v>
      </c>
      <c r="V1165" s="26">
        <v>28</v>
      </c>
      <c r="W1165" s="26">
        <v>54</v>
      </c>
      <c r="X1165" s="26" t="s">
        <v>945</v>
      </c>
      <c r="Y1165" s="26">
        <v>5.4</v>
      </c>
      <c r="Z1165" s="26">
        <v>1.71</v>
      </c>
      <c r="AB1165" s="26" t="s">
        <v>1583</v>
      </c>
      <c r="AC1165" s="26" t="s">
        <v>1862</v>
      </c>
      <c r="AD1165" s="153" t="str">
        <f t="shared" si="254"/>
        <v>Triticale/Winter_pea</v>
      </c>
      <c r="AE1165" s="26" t="s">
        <v>768</v>
      </c>
      <c r="AG1165" s="26" t="s">
        <v>948</v>
      </c>
      <c r="AH1165" s="26" t="s">
        <v>948</v>
      </c>
      <c r="AI1165" s="26" t="s">
        <v>230</v>
      </c>
      <c r="AP1165" s="26" t="s">
        <v>154</v>
      </c>
      <c r="AQ1165" s="26">
        <v>4</v>
      </c>
      <c r="AR1165" s="26">
        <v>4</v>
      </c>
      <c r="AS1165" s="26" t="s">
        <v>177</v>
      </c>
      <c r="DS1165" s="26">
        <v>0.96</v>
      </c>
      <c r="DT1165" s="26">
        <v>0.84</v>
      </c>
      <c r="DU1165" s="26" t="s">
        <v>952</v>
      </c>
      <c r="FA1165" s="26" t="s">
        <v>953</v>
      </c>
      <c r="FC1165" s="26">
        <v>55</v>
      </c>
    </row>
    <row r="1166" spans="1:159" s="47" customFormat="1" x14ac:dyDescent="0.25">
      <c r="A1166" s="47">
        <v>55</v>
      </c>
      <c r="B1166" s="47" t="s">
        <v>937</v>
      </c>
      <c r="C1166" s="47" t="s">
        <v>938</v>
      </c>
      <c r="D1166" s="47">
        <v>2001</v>
      </c>
      <c r="E1166" s="47">
        <v>1997</v>
      </c>
      <c r="F1166" s="47" t="s">
        <v>943</v>
      </c>
      <c r="G1166" s="47" t="s">
        <v>944</v>
      </c>
      <c r="H1166" s="47">
        <v>44.56</v>
      </c>
      <c r="I1166" s="47">
        <v>-123.26</v>
      </c>
      <c r="J1166" s="47">
        <v>59.6</v>
      </c>
      <c r="P1166" s="82" t="s">
        <v>179</v>
      </c>
      <c r="Q1166" s="82"/>
      <c r="R1166" s="82"/>
      <c r="S1166" s="82" t="s">
        <v>1645</v>
      </c>
      <c r="T1166" s="82" t="s">
        <v>1645</v>
      </c>
      <c r="V1166" s="47">
        <v>22</v>
      </c>
      <c r="W1166" s="47">
        <v>52</v>
      </c>
      <c r="X1166" s="47" t="s">
        <v>945</v>
      </c>
      <c r="Y1166" s="47">
        <v>5.9</v>
      </c>
      <c r="Z1166" s="47">
        <v>1.65</v>
      </c>
      <c r="AB1166" s="47" t="s">
        <v>1583</v>
      </c>
      <c r="AC1166" s="47" t="s">
        <v>1862</v>
      </c>
      <c r="AD1166" s="153" t="str">
        <f t="shared" si="254"/>
        <v>Triticale/Winter_pea</v>
      </c>
      <c r="AE1166" s="47" t="s">
        <v>947</v>
      </c>
      <c r="AG1166" s="47" t="s">
        <v>949</v>
      </c>
      <c r="AH1166" s="47" t="s">
        <v>949</v>
      </c>
      <c r="AI1166" s="47" t="s">
        <v>230</v>
      </c>
      <c r="AP1166" s="47" t="s">
        <v>154</v>
      </c>
      <c r="AQ1166" s="47">
        <v>4</v>
      </c>
      <c r="AR1166" s="47">
        <v>4</v>
      </c>
      <c r="AS1166" s="47" t="s">
        <v>177</v>
      </c>
      <c r="DS1166" s="47">
        <v>1.74</v>
      </c>
      <c r="DT1166" s="47">
        <v>4.7699999999999996</v>
      </c>
      <c r="DU1166" s="47" t="s">
        <v>952</v>
      </c>
      <c r="FA1166" s="47" t="s">
        <v>953</v>
      </c>
      <c r="FC1166" s="47">
        <v>55</v>
      </c>
    </row>
    <row r="1167" spans="1:159" s="26" customFormat="1" x14ac:dyDescent="0.25">
      <c r="A1167" s="26">
        <v>55</v>
      </c>
      <c r="B1167" s="26" t="s">
        <v>937</v>
      </c>
      <c r="C1167" s="26" t="s">
        <v>938</v>
      </c>
      <c r="D1167" s="26">
        <v>2001</v>
      </c>
      <c r="E1167" s="26">
        <v>1997</v>
      </c>
      <c r="F1167" s="26" t="s">
        <v>943</v>
      </c>
      <c r="G1167" s="26" t="s">
        <v>941</v>
      </c>
      <c r="H1167" s="26">
        <v>44.94</v>
      </c>
      <c r="I1167" s="26">
        <v>-123.04</v>
      </c>
      <c r="J1167" s="26">
        <v>49.3</v>
      </c>
      <c r="P1167" s="52" t="s">
        <v>179</v>
      </c>
      <c r="Q1167" s="52"/>
      <c r="R1167" s="52"/>
      <c r="S1167" s="52" t="s">
        <v>1645</v>
      </c>
      <c r="T1167" s="52" t="s">
        <v>1645</v>
      </c>
      <c r="V1167" s="26">
        <v>46</v>
      </c>
      <c r="W1167" s="26">
        <v>38</v>
      </c>
      <c r="X1167" s="26" t="s">
        <v>734</v>
      </c>
      <c r="Y1167" s="26">
        <v>6.2</v>
      </c>
      <c r="Z1167" s="26">
        <v>2.02</v>
      </c>
      <c r="AB1167" s="26" t="s">
        <v>1583</v>
      </c>
      <c r="AC1167" s="26" t="s">
        <v>1862</v>
      </c>
      <c r="AD1167" s="153" t="str">
        <f t="shared" si="254"/>
        <v>Triticale/Winter_pea</v>
      </c>
      <c r="AE1167" s="26" t="s">
        <v>947</v>
      </c>
      <c r="AG1167" s="26" t="s">
        <v>950</v>
      </c>
      <c r="AH1167" s="26" t="s">
        <v>950</v>
      </c>
      <c r="AI1167" s="26" t="s">
        <v>230</v>
      </c>
      <c r="AP1167" s="26" t="s">
        <v>154</v>
      </c>
      <c r="AQ1167" s="26">
        <v>4</v>
      </c>
      <c r="AR1167" s="26">
        <v>4</v>
      </c>
      <c r="AS1167" s="26" t="s">
        <v>177</v>
      </c>
      <c r="DS1167" s="26">
        <v>0.35</v>
      </c>
      <c r="DT1167" s="26">
        <v>1.34</v>
      </c>
      <c r="DU1167" s="26" t="s">
        <v>952</v>
      </c>
      <c r="FA1167" s="26" t="s">
        <v>953</v>
      </c>
      <c r="FC1167" s="26">
        <v>55</v>
      </c>
    </row>
    <row r="1168" spans="1:159" s="47" customFormat="1" x14ac:dyDescent="0.25">
      <c r="A1168" s="47">
        <v>55</v>
      </c>
      <c r="B1168" s="47" t="s">
        <v>937</v>
      </c>
      <c r="C1168" s="47" t="s">
        <v>938</v>
      </c>
      <c r="D1168" s="47">
        <v>2001</v>
      </c>
      <c r="E1168" s="47">
        <v>1997</v>
      </c>
      <c r="F1168" s="47" t="s">
        <v>943</v>
      </c>
      <c r="G1168" s="47" t="s">
        <v>942</v>
      </c>
      <c r="H1168" s="47">
        <v>45.01</v>
      </c>
      <c r="I1168" s="47">
        <v>-122.78</v>
      </c>
      <c r="J1168" s="47">
        <v>78.5</v>
      </c>
      <c r="P1168" s="82" t="s">
        <v>179</v>
      </c>
      <c r="Q1168" s="82"/>
      <c r="R1168" s="82"/>
      <c r="S1168" s="82" t="s">
        <v>1645</v>
      </c>
      <c r="T1168" s="82" t="s">
        <v>1645</v>
      </c>
      <c r="V1168" s="47">
        <v>7</v>
      </c>
      <c r="W1168" s="47">
        <v>67</v>
      </c>
      <c r="X1168" s="47" t="s">
        <v>946</v>
      </c>
      <c r="Y1168" s="47">
        <v>5.9</v>
      </c>
      <c r="Z1168" s="47">
        <v>1.77</v>
      </c>
      <c r="AB1168" s="47" t="s">
        <v>1583</v>
      </c>
      <c r="AC1168" s="47" t="s">
        <v>1862</v>
      </c>
      <c r="AD1168" s="153" t="str">
        <f t="shared" si="254"/>
        <v>Triticale/Winter_pea</v>
      </c>
      <c r="AE1168" s="47" t="s">
        <v>767</v>
      </c>
      <c r="AG1168" s="47" t="s">
        <v>951</v>
      </c>
      <c r="AH1168" s="47" t="s">
        <v>951</v>
      </c>
      <c r="AI1168" s="47" t="s">
        <v>230</v>
      </c>
      <c r="AP1168" s="47" t="s">
        <v>154</v>
      </c>
      <c r="AQ1168" s="47">
        <v>4</v>
      </c>
      <c r="AR1168" s="47">
        <v>4</v>
      </c>
      <c r="AS1168" s="47" t="s">
        <v>177</v>
      </c>
      <c r="DS1168" s="47">
        <v>3.23</v>
      </c>
      <c r="DT1168" s="47">
        <v>3.89</v>
      </c>
      <c r="DU1168" s="47" t="s">
        <v>952</v>
      </c>
      <c r="FA1168" s="47" t="s">
        <v>953</v>
      </c>
      <c r="FC1168" s="47">
        <v>55</v>
      </c>
    </row>
    <row r="1169" spans="1:159" s="26" customFormat="1" x14ac:dyDescent="0.25">
      <c r="A1169" s="26">
        <v>55</v>
      </c>
      <c r="B1169" s="26" t="s">
        <v>937</v>
      </c>
      <c r="C1169" s="26" t="s">
        <v>938</v>
      </c>
      <c r="D1169" s="26">
        <v>2001</v>
      </c>
      <c r="E1169" s="26">
        <v>1998</v>
      </c>
      <c r="F1169" s="26" t="s">
        <v>943</v>
      </c>
      <c r="G1169" s="26" t="s">
        <v>944</v>
      </c>
      <c r="H1169" s="26">
        <v>44.56</v>
      </c>
      <c r="I1169" s="26">
        <v>-123.26</v>
      </c>
      <c r="J1169" s="26">
        <v>59.6</v>
      </c>
      <c r="P1169" s="52" t="s">
        <v>180</v>
      </c>
      <c r="Q1169" s="52"/>
      <c r="R1169" s="52" t="s">
        <v>793</v>
      </c>
      <c r="S1169" s="52" t="s">
        <v>1645</v>
      </c>
      <c r="T1169" s="52" t="s">
        <v>1645</v>
      </c>
      <c r="V1169" s="26">
        <v>22</v>
      </c>
      <c r="W1169" s="26">
        <v>52</v>
      </c>
      <c r="X1169" s="26" t="s">
        <v>945</v>
      </c>
      <c r="Y1169" s="26">
        <v>5.9</v>
      </c>
      <c r="Z1169" s="26">
        <v>1.65</v>
      </c>
      <c r="AB1169" s="26" t="s">
        <v>1583</v>
      </c>
      <c r="AC1169" s="26" t="s">
        <v>1862</v>
      </c>
      <c r="AD1169" s="153" t="str">
        <f t="shared" si="254"/>
        <v>Triticale/Winter_pea</v>
      </c>
      <c r="AE1169" s="26" t="s">
        <v>954</v>
      </c>
      <c r="AG1169" s="26" t="s">
        <v>949</v>
      </c>
      <c r="AH1169" s="26" t="s">
        <v>949</v>
      </c>
      <c r="AI1169" s="26" t="s">
        <v>230</v>
      </c>
      <c r="AP1169" s="26" t="s">
        <v>154</v>
      </c>
      <c r="AQ1169" s="26">
        <v>4</v>
      </c>
      <c r="AR1169" s="26">
        <v>4</v>
      </c>
      <c r="AS1169" s="26" t="s">
        <v>177</v>
      </c>
      <c r="DS1169" s="26">
        <v>9.15</v>
      </c>
      <c r="DT1169" s="26">
        <v>15.2</v>
      </c>
      <c r="DU1169" s="26" t="s">
        <v>952</v>
      </c>
      <c r="FA1169" s="26" t="s">
        <v>953</v>
      </c>
      <c r="FC1169" s="26">
        <v>55</v>
      </c>
    </row>
    <row r="1170" spans="1:159" s="26" customFormat="1" x14ac:dyDescent="0.25">
      <c r="A1170" s="26">
        <v>55</v>
      </c>
      <c r="B1170" s="26" t="s">
        <v>937</v>
      </c>
      <c r="C1170" s="26" t="s">
        <v>938</v>
      </c>
      <c r="D1170" s="26">
        <v>2001</v>
      </c>
      <c r="E1170" s="26">
        <v>1998</v>
      </c>
      <c r="F1170" s="26" t="s">
        <v>943</v>
      </c>
      <c r="G1170" s="26" t="s">
        <v>944</v>
      </c>
      <c r="H1170" s="26">
        <v>44.56</v>
      </c>
      <c r="I1170" s="26">
        <v>-123.26</v>
      </c>
      <c r="J1170" s="26">
        <v>59.6</v>
      </c>
      <c r="P1170" s="52" t="s">
        <v>180</v>
      </c>
      <c r="Q1170" s="52"/>
      <c r="R1170" s="52" t="s">
        <v>792</v>
      </c>
      <c r="S1170" s="52" t="s">
        <v>1645</v>
      </c>
      <c r="T1170" s="52" t="s">
        <v>1645</v>
      </c>
      <c r="V1170" s="26">
        <v>22</v>
      </c>
      <c r="W1170" s="26">
        <v>52</v>
      </c>
      <c r="X1170" s="26" t="s">
        <v>945</v>
      </c>
      <c r="Y1170" s="26">
        <v>5.9</v>
      </c>
      <c r="Z1170" s="26">
        <v>1.65</v>
      </c>
      <c r="AB1170" s="26" t="s">
        <v>1583</v>
      </c>
      <c r="AC1170" s="26" t="s">
        <v>1862</v>
      </c>
      <c r="AD1170" s="153" t="str">
        <f t="shared" si="254"/>
        <v>Triticale/Winter_pea</v>
      </c>
      <c r="AE1170" s="26" t="s">
        <v>954</v>
      </c>
      <c r="AG1170" s="26" t="s">
        <v>949</v>
      </c>
      <c r="AH1170" s="26" t="s">
        <v>949</v>
      </c>
      <c r="AI1170" s="26" t="s">
        <v>230</v>
      </c>
      <c r="AP1170" s="26" t="s">
        <v>154</v>
      </c>
      <c r="AQ1170" s="26">
        <v>4</v>
      </c>
      <c r="AR1170" s="26">
        <v>4</v>
      </c>
      <c r="AS1170" s="26" t="s">
        <v>177</v>
      </c>
      <c r="DS1170" s="26">
        <v>3.58</v>
      </c>
      <c r="DT1170" s="26">
        <v>6.58</v>
      </c>
      <c r="DU1170" s="26" t="s">
        <v>952</v>
      </c>
      <c r="FA1170" s="26" t="s">
        <v>953</v>
      </c>
      <c r="FC1170" s="26">
        <v>55</v>
      </c>
    </row>
    <row r="1171" spans="1:159" s="26" customFormat="1" x14ac:dyDescent="0.25">
      <c r="A1171" s="26">
        <v>55</v>
      </c>
      <c r="B1171" s="26" t="s">
        <v>937</v>
      </c>
      <c r="C1171" s="26" t="s">
        <v>938</v>
      </c>
      <c r="D1171" s="26">
        <v>2001</v>
      </c>
      <c r="E1171" s="26">
        <v>1998</v>
      </c>
      <c r="F1171" s="26" t="s">
        <v>943</v>
      </c>
      <c r="G1171" s="26" t="s">
        <v>944</v>
      </c>
      <c r="H1171" s="26">
        <v>44.56</v>
      </c>
      <c r="I1171" s="26">
        <v>-123.26</v>
      </c>
      <c r="J1171" s="26">
        <v>59.6</v>
      </c>
      <c r="P1171" s="52" t="s">
        <v>180</v>
      </c>
      <c r="Q1171" s="52"/>
      <c r="R1171" s="52" t="s">
        <v>794</v>
      </c>
      <c r="S1171" s="52" t="s">
        <v>1645</v>
      </c>
      <c r="T1171" s="52" t="s">
        <v>1645</v>
      </c>
      <c r="V1171" s="26">
        <v>22</v>
      </c>
      <c r="W1171" s="26">
        <v>52</v>
      </c>
      <c r="X1171" s="26" t="s">
        <v>945</v>
      </c>
      <c r="Y1171" s="26">
        <v>5.9</v>
      </c>
      <c r="Z1171" s="26">
        <v>1.65</v>
      </c>
      <c r="AB1171" s="26" t="s">
        <v>1583</v>
      </c>
      <c r="AC1171" s="26" t="s">
        <v>1862</v>
      </c>
      <c r="AD1171" s="153" t="str">
        <f t="shared" si="254"/>
        <v>Triticale/Winter_pea</v>
      </c>
      <c r="AE1171" s="26" t="s">
        <v>954</v>
      </c>
      <c r="AG1171" s="26" t="s">
        <v>949</v>
      </c>
      <c r="AH1171" s="26" t="s">
        <v>949</v>
      </c>
      <c r="AI1171" s="26" t="s">
        <v>230</v>
      </c>
      <c r="AP1171" s="26" t="s">
        <v>154</v>
      </c>
      <c r="AQ1171" s="26">
        <v>4</v>
      </c>
      <c r="AR1171" s="26">
        <v>4</v>
      </c>
      <c r="AS1171" s="26" t="s">
        <v>177</v>
      </c>
      <c r="DS1171" s="26">
        <v>1.95</v>
      </c>
      <c r="DT1171" s="26">
        <v>3.05</v>
      </c>
      <c r="DU1171" s="26" t="s">
        <v>952</v>
      </c>
      <c r="FA1171" s="26" t="s">
        <v>953</v>
      </c>
      <c r="FC1171" s="26">
        <v>55</v>
      </c>
    </row>
    <row r="1172" spans="1:159" s="35" customFormat="1" x14ac:dyDescent="0.25">
      <c r="A1172" s="35">
        <v>55</v>
      </c>
      <c r="B1172" s="35" t="s">
        <v>937</v>
      </c>
      <c r="C1172" s="35" t="s">
        <v>938</v>
      </c>
      <c r="D1172" s="35">
        <v>2001</v>
      </c>
      <c r="E1172" s="35">
        <v>1998</v>
      </c>
      <c r="F1172" s="35" t="s">
        <v>943</v>
      </c>
      <c r="G1172" s="35" t="s">
        <v>939</v>
      </c>
      <c r="H1172" s="35">
        <v>45.23</v>
      </c>
      <c r="I1172" s="35">
        <v>-122.756</v>
      </c>
      <c r="J1172" s="35">
        <v>48.4</v>
      </c>
      <c r="P1172" s="54" t="s">
        <v>180</v>
      </c>
      <c r="Q1172" s="54"/>
      <c r="R1172" s="54" t="s">
        <v>793</v>
      </c>
      <c r="S1172" s="54" t="s">
        <v>1645</v>
      </c>
      <c r="T1172" s="54" t="s">
        <v>1645</v>
      </c>
      <c r="V1172" s="35">
        <v>28</v>
      </c>
      <c r="W1172" s="35">
        <v>54</v>
      </c>
      <c r="X1172" s="35" t="s">
        <v>945</v>
      </c>
      <c r="Y1172" s="35">
        <v>5.4</v>
      </c>
      <c r="Z1172" s="35">
        <v>1.71</v>
      </c>
      <c r="AB1172" s="35" t="s">
        <v>1583</v>
      </c>
      <c r="AC1172" s="35" t="s">
        <v>940</v>
      </c>
      <c r="AD1172" s="153" t="str">
        <f t="shared" si="254"/>
        <v>Triticale</v>
      </c>
      <c r="AE1172" s="35" t="s">
        <v>947</v>
      </c>
      <c r="AG1172" s="35" t="s">
        <v>948</v>
      </c>
      <c r="AH1172" s="35" t="s">
        <v>948</v>
      </c>
      <c r="AI1172" s="35" t="s">
        <v>230</v>
      </c>
      <c r="AP1172" s="35" t="s">
        <v>154</v>
      </c>
      <c r="AQ1172" s="35">
        <v>4</v>
      </c>
      <c r="AR1172" s="35">
        <v>4</v>
      </c>
      <c r="AS1172" s="35" t="s">
        <v>177</v>
      </c>
      <c r="DS1172" s="35">
        <v>2.87</v>
      </c>
      <c r="DT1172" s="35">
        <v>2.79</v>
      </c>
      <c r="DU1172" s="35" t="s">
        <v>955</v>
      </c>
      <c r="FA1172" s="35" t="s">
        <v>953</v>
      </c>
      <c r="FC1172" s="35">
        <v>55</v>
      </c>
    </row>
    <row r="1173" spans="1:159" s="35" customFormat="1" x14ac:dyDescent="0.25">
      <c r="A1173" s="35">
        <v>55</v>
      </c>
      <c r="B1173" s="35" t="s">
        <v>937</v>
      </c>
      <c r="C1173" s="35" t="s">
        <v>938</v>
      </c>
      <c r="D1173" s="35">
        <v>2001</v>
      </c>
      <c r="E1173" s="35">
        <v>1998</v>
      </c>
      <c r="F1173" s="35" t="s">
        <v>943</v>
      </c>
      <c r="G1173" s="35" t="s">
        <v>939</v>
      </c>
      <c r="H1173" s="35">
        <v>45.23</v>
      </c>
      <c r="I1173" s="35">
        <v>-122.756</v>
      </c>
      <c r="J1173" s="35">
        <v>48.4</v>
      </c>
      <c r="P1173" s="54" t="s">
        <v>180</v>
      </c>
      <c r="Q1173" s="54"/>
      <c r="R1173" s="54" t="s">
        <v>793</v>
      </c>
      <c r="S1173" s="54" t="s">
        <v>1645</v>
      </c>
      <c r="T1173" s="54" t="s">
        <v>1645</v>
      </c>
      <c r="V1173" s="35">
        <v>28</v>
      </c>
      <c r="W1173" s="35">
        <v>54</v>
      </c>
      <c r="X1173" s="35" t="s">
        <v>945</v>
      </c>
      <c r="Y1173" s="35">
        <v>5.4</v>
      </c>
      <c r="Z1173" s="35">
        <v>1.71</v>
      </c>
      <c r="AB1173" s="35" t="s">
        <v>1583</v>
      </c>
      <c r="AC1173" s="35" t="s">
        <v>1862</v>
      </c>
      <c r="AD1173" s="153" t="str">
        <f t="shared" si="254"/>
        <v>Triticale/Winter_pea</v>
      </c>
      <c r="AE1173" s="35" t="s">
        <v>947</v>
      </c>
      <c r="AG1173" s="35" t="s">
        <v>948</v>
      </c>
      <c r="AH1173" s="35" t="s">
        <v>948</v>
      </c>
      <c r="AI1173" s="35" t="s">
        <v>230</v>
      </c>
      <c r="AP1173" s="35" t="s">
        <v>154</v>
      </c>
      <c r="AQ1173" s="35">
        <v>4</v>
      </c>
      <c r="AR1173" s="35">
        <v>4</v>
      </c>
      <c r="AS1173" s="35" t="s">
        <v>177</v>
      </c>
      <c r="DS1173" s="35">
        <v>2.87</v>
      </c>
      <c r="DT1173" s="35">
        <v>2.83</v>
      </c>
      <c r="DU1173" s="35" t="s">
        <v>955</v>
      </c>
      <c r="FA1173" s="35" t="s">
        <v>953</v>
      </c>
      <c r="FC1173" s="35">
        <v>55</v>
      </c>
    </row>
    <row r="1174" spans="1:159" s="47" customFormat="1" x14ac:dyDescent="0.25">
      <c r="A1174" s="47">
        <v>55</v>
      </c>
      <c r="B1174" s="47" t="s">
        <v>937</v>
      </c>
      <c r="C1174" s="47" t="s">
        <v>938</v>
      </c>
      <c r="D1174" s="47">
        <v>2001</v>
      </c>
      <c r="E1174" s="47">
        <v>1998</v>
      </c>
      <c r="F1174" s="47" t="s">
        <v>943</v>
      </c>
      <c r="G1174" s="47" t="s">
        <v>944</v>
      </c>
      <c r="H1174" s="47">
        <v>44.56</v>
      </c>
      <c r="I1174" s="47">
        <v>-123.26</v>
      </c>
      <c r="J1174" s="47">
        <v>59.6</v>
      </c>
      <c r="P1174" s="82" t="s">
        <v>180</v>
      </c>
      <c r="Q1174" s="82"/>
      <c r="R1174" s="82" t="s">
        <v>793</v>
      </c>
      <c r="S1174" s="82" t="s">
        <v>1645</v>
      </c>
      <c r="T1174" s="82" t="s">
        <v>1645</v>
      </c>
      <c r="V1174" s="47">
        <v>22</v>
      </c>
      <c r="W1174" s="47">
        <v>52</v>
      </c>
      <c r="X1174" s="47" t="s">
        <v>945</v>
      </c>
      <c r="Y1174" s="47">
        <v>5.9</v>
      </c>
      <c r="Z1174" s="47">
        <v>1.65</v>
      </c>
      <c r="AB1174" s="47" t="s">
        <v>1583</v>
      </c>
      <c r="AC1174" s="47" t="s">
        <v>1862</v>
      </c>
      <c r="AD1174" s="153" t="str">
        <f t="shared" si="254"/>
        <v>Triticale/Winter_pea</v>
      </c>
      <c r="AE1174" s="47" t="s">
        <v>954</v>
      </c>
      <c r="AG1174" s="47" t="s">
        <v>949</v>
      </c>
      <c r="AH1174" s="47" t="s">
        <v>949</v>
      </c>
      <c r="AI1174" s="47" t="s">
        <v>230</v>
      </c>
      <c r="AP1174" s="47" t="s">
        <v>154</v>
      </c>
      <c r="AQ1174" s="47">
        <v>4</v>
      </c>
      <c r="AR1174" s="47">
        <v>4</v>
      </c>
      <c r="AS1174" s="47" t="s">
        <v>177</v>
      </c>
      <c r="DS1174" s="47">
        <v>2.98</v>
      </c>
      <c r="DT1174" s="47">
        <v>3.05</v>
      </c>
      <c r="DU1174" s="47" t="s">
        <v>955</v>
      </c>
      <c r="FA1174" s="47" t="s">
        <v>953</v>
      </c>
      <c r="FC1174" s="47">
        <v>55</v>
      </c>
    </row>
    <row r="1175" spans="1:159" s="35" customFormat="1" x14ac:dyDescent="0.25">
      <c r="A1175" s="35">
        <v>55</v>
      </c>
      <c r="B1175" s="35" t="s">
        <v>937</v>
      </c>
      <c r="C1175" s="35" t="s">
        <v>938</v>
      </c>
      <c r="D1175" s="35">
        <v>2001</v>
      </c>
      <c r="E1175" s="35">
        <v>1999</v>
      </c>
      <c r="F1175" s="35" t="s">
        <v>943</v>
      </c>
      <c r="G1175" s="35" t="s">
        <v>939</v>
      </c>
      <c r="H1175" s="35">
        <v>45.23</v>
      </c>
      <c r="I1175" s="35">
        <v>-122.756</v>
      </c>
      <c r="J1175" s="35">
        <v>48.4</v>
      </c>
      <c r="P1175" s="54" t="s">
        <v>181</v>
      </c>
      <c r="Q1175" s="54"/>
      <c r="R1175" s="54" t="s">
        <v>793</v>
      </c>
      <c r="S1175" s="54" t="s">
        <v>1645</v>
      </c>
      <c r="T1175" s="54" t="s">
        <v>1645</v>
      </c>
      <c r="V1175" s="35">
        <v>28</v>
      </c>
      <c r="W1175" s="35">
        <v>54</v>
      </c>
      <c r="X1175" s="35" t="s">
        <v>945</v>
      </c>
      <c r="Y1175" s="35">
        <v>5.4</v>
      </c>
      <c r="Z1175" s="35">
        <v>1.71</v>
      </c>
      <c r="AB1175" s="35" t="s">
        <v>1583</v>
      </c>
      <c r="AC1175" s="35" t="s">
        <v>940</v>
      </c>
      <c r="AD1175" s="153" t="str">
        <f t="shared" si="254"/>
        <v>Triticale</v>
      </c>
      <c r="AE1175" s="35" t="s">
        <v>954</v>
      </c>
      <c r="AG1175" s="35" t="s">
        <v>948</v>
      </c>
      <c r="AH1175" s="35" t="s">
        <v>948</v>
      </c>
      <c r="AI1175" s="35" t="s">
        <v>230</v>
      </c>
      <c r="AP1175" s="35" t="s">
        <v>154</v>
      </c>
      <c r="AQ1175" s="35">
        <v>4</v>
      </c>
      <c r="AR1175" s="35">
        <v>4</v>
      </c>
      <c r="AS1175" s="35" t="s">
        <v>177</v>
      </c>
      <c r="DS1175" s="35">
        <v>2.44</v>
      </c>
      <c r="DT1175" s="35">
        <v>2.63</v>
      </c>
      <c r="DU1175" s="35" t="s">
        <v>955</v>
      </c>
      <c r="FA1175" s="35" t="s">
        <v>953</v>
      </c>
      <c r="FC1175" s="35">
        <v>55</v>
      </c>
    </row>
    <row r="1176" spans="1:159" s="35" customFormat="1" x14ac:dyDescent="0.25">
      <c r="A1176" s="35">
        <v>55</v>
      </c>
      <c r="B1176" s="35" t="s">
        <v>937</v>
      </c>
      <c r="C1176" s="35" t="s">
        <v>938</v>
      </c>
      <c r="D1176" s="35">
        <v>2001</v>
      </c>
      <c r="E1176" s="35">
        <v>1999</v>
      </c>
      <c r="F1176" s="35" t="s">
        <v>943</v>
      </c>
      <c r="G1176" s="35" t="s">
        <v>939</v>
      </c>
      <c r="H1176" s="35">
        <v>45.23</v>
      </c>
      <c r="I1176" s="35">
        <v>-122.756</v>
      </c>
      <c r="J1176" s="35">
        <v>48.4</v>
      </c>
      <c r="P1176" s="54" t="s">
        <v>181</v>
      </c>
      <c r="Q1176" s="54"/>
      <c r="R1176" s="54" t="s">
        <v>793</v>
      </c>
      <c r="S1176" s="54" t="s">
        <v>1645</v>
      </c>
      <c r="T1176" s="54" t="s">
        <v>1645</v>
      </c>
      <c r="V1176" s="35">
        <v>28</v>
      </c>
      <c r="W1176" s="35">
        <v>54</v>
      </c>
      <c r="X1176" s="35" t="s">
        <v>945</v>
      </c>
      <c r="Y1176" s="35">
        <v>5.4</v>
      </c>
      <c r="Z1176" s="35">
        <v>1.71</v>
      </c>
      <c r="AB1176" s="35" t="s">
        <v>1583</v>
      </c>
      <c r="AC1176" s="35" t="s">
        <v>1862</v>
      </c>
      <c r="AD1176" s="153" t="str">
        <f t="shared" si="254"/>
        <v>Triticale/Winter_pea</v>
      </c>
      <c r="AE1176" s="35" t="s">
        <v>954</v>
      </c>
      <c r="AG1176" s="35" t="s">
        <v>948</v>
      </c>
      <c r="AH1176" s="35" t="s">
        <v>948</v>
      </c>
      <c r="AI1176" s="35" t="s">
        <v>230</v>
      </c>
      <c r="AP1176" s="35" t="s">
        <v>154</v>
      </c>
      <c r="AQ1176" s="35">
        <v>4</v>
      </c>
      <c r="AR1176" s="35">
        <v>4</v>
      </c>
      <c r="AS1176" s="35" t="s">
        <v>177</v>
      </c>
      <c r="DS1176" s="35">
        <v>2.44</v>
      </c>
      <c r="DT1176" s="35">
        <v>2.64</v>
      </c>
      <c r="DU1176" s="35" t="s">
        <v>955</v>
      </c>
      <c r="FA1176" s="35" t="s">
        <v>953</v>
      </c>
      <c r="FC1176" s="35">
        <v>55</v>
      </c>
    </row>
    <row r="1177" spans="1:159" s="47" customFormat="1" x14ac:dyDescent="0.25">
      <c r="A1177" s="47">
        <v>55</v>
      </c>
      <c r="B1177" s="47" t="s">
        <v>937</v>
      </c>
      <c r="C1177" s="47" t="s">
        <v>938</v>
      </c>
      <c r="D1177" s="47">
        <v>2001</v>
      </c>
      <c r="E1177" s="47">
        <v>1999</v>
      </c>
      <c r="F1177" s="47" t="s">
        <v>943</v>
      </c>
      <c r="G1177" s="47" t="s">
        <v>944</v>
      </c>
      <c r="H1177" s="47">
        <v>44.56</v>
      </c>
      <c r="I1177" s="47">
        <v>-123.26</v>
      </c>
      <c r="J1177" s="47">
        <v>59.6</v>
      </c>
      <c r="P1177" s="82" t="s">
        <v>181</v>
      </c>
      <c r="Q1177" s="82"/>
      <c r="R1177" s="82" t="s">
        <v>793</v>
      </c>
      <c r="S1177" s="82" t="s">
        <v>1645</v>
      </c>
      <c r="T1177" s="82" t="s">
        <v>1645</v>
      </c>
      <c r="V1177" s="47">
        <v>22</v>
      </c>
      <c r="W1177" s="47">
        <v>52</v>
      </c>
      <c r="X1177" s="47" t="s">
        <v>945</v>
      </c>
      <c r="Y1177" s="47">
        <v>5.9</v>
      </c>
      <c r="Z1177" s="47">
        <v>1.65</v>
      </c>
      <c r="AB1177" s="47" t="s">
        <v>1583</v>
      </c>
      <c r="AC1177" s="47" t="s">
        <v>1862</v>
      </c>
      <c r="AD1177" s="153" t="str">
        <f t="shared" si="254"/>
        <v>Triticale/Winter_pea</v>
      </c>
      <c r="AE1177" s="47" t="s">
        <v>954</v>
      </c>
      <c r="AG1177" s="47" t="s">
        <v>949</v>
      </c>
      <c r="AH1177" s="47" t="s">
        <v>949</v>
      </c>
      <c r="AI1177" s="47" t="s">
        <v>230</v>
      </c>
      <c r="AP1177" s="47" t="s">
        <v>154</v>
      </c>
      <c r="AQ1177" s="47">
        <v>4</v>
      </c>
      <c r="AR1177" s="47">
        <v>4</v>
      </c>
      <c r="AS1177" s="47" t="s">
        <v>177</v>
      </c>
      <c r="DS1177" s="47">
        <v>2.84</v>
      </c>
      <c r="DT1177" s="47">
        <v>2.95</v>
      </c>
      <c r="DU1177" s="47" t="s">
        <v>955</v>
      </c>
      <c r="FA1177" s="47" t="s">
        <v>953</v>
      </c>
      <c r="FC1177" s="47">
        <v>55</v>
      </c>
    </row>
    <row r="1178" spans="1:159" s="35" customFormat="1" x14ac:dyDescent="0.25">
      <c r="A1178" s="35">
        <v>55</v>
      </c>
      <c r="B1178" s="35" t="s">
        <v>937</v>
      </c>
      <c r="C1178" s="35" t="s">
        <v>938</v>
      </c>
      <c r="D1178" s="35">
        <v>2001</v>
      </c>
      <c r="E1178" s="35">
        <v>1998</v>
      </c>
      <c r="F1178" s="35" t="s">
        <v>943</v>
      </c>
      <c r="G1178" s="35" t="s">
        <v>939</v>
      </c>
      <c r="H1178" s="35">
        <v>45.23</v>
      </c>
      <c r="I1178" s="35">
        <v>-122.756</v>
      </c>
      <c r="J1178" s="35">
        <v>48.4</v>
      </c>
      <c r="P1178" s="54" t="s">
        <v>180</v>
      </c>
      <c r="Q1178" s="54"/>
      <c r="R1178" s="54" t="s">
        <v>792</v>
      </c>
      <c r="S1178" s="54" t="s">
        <v>1645</v>
      </c>
      <c r="T1178" s="54" t="s">
        <v>1645</v>
      </c>
      <c r="V1178" s="35">
        <v>28</v>
      </c>
      <c r="W1178" s="35">
        <v>54</v>
      </c>
      <c r="X1178" s="35" t="s">
        <v>945</v>
      </c>
      <c r="Y1178" s="35">
        <v>5.4</v>
      </c>
      <c r="Z1178" s="35">
        <v>1.71</v>
      </c>
      <c r="AB1178" s="35" t="s">
        <v>1583</v>
      </c>
      <c r="AC1178" s="35" t="s">
        <v>940</v>
      </c>
      <c r="AD1178" s="153" t="str">
        <f t="shared" si="254"/>
        <v>Triticale</v>
      </c>
      <c r="AE1178" s="35" t="s">
        <v>947</v>
      </c>
      <c r="AG1178" s="35" t="s">
        <v>948</v>
      </c>
      <c r="AH1178" s="35" t="s">
        <v>948</v>
      </c>
      <c r="AI1178" s="35" t="s">
        <v>230</v>
      </c>
      <c r="AP1178" s="35" t="s">
        <v>154</v>
      </c>
      <c r="AQ1178" s="35">
        <v>4</v>
      </c>
      <c r="AR1178" s="35">
        <v>4</v>
      </c>
      <c r="AS1178" s="35" t="s">
        <v>177</v>
      </c>
      <c r="DS1178" s="35">
        <v>2.77</v>
      </c>
      <c r="DT1178" s="35">
        <v>2.61</v>
      </c>
      <c r="DU1178" s="35" t="s">
        <v>955</v>
      </c>
      <c r="FA1178" s="35" t="s">
        <v>953</v>
      </c>
      <c r="FC1178" s="35">
        <v>55</v>
      </c>
    </row>
    <row r="1179" spans="1:159" s="35" customFormat="1" x14ac:dyDescent="0.25">
      <c r="A1179" s="35">
        <v>55</v>
      </c>
      <c r="B1179" s="35" t="s">
        <v>937</v>
      </c>
      <c r="C1179" s="35" t="s">
        <v>938</v>
      </c>
      <c r="D1179" s="35">
        <v>2001</v>
      </c>
      <c r="E1179" s="35">
        <v>1998</v>
      </c>
      <c r="F1179" s="35" t="s">
        <v>943</v>
      </c>
      <c r="G1179" s="35" t="s">
        <v>939</v>
      </c>
      <c r="H1179" s="35">
        <v>45.23</v>
      </c>
      <c r="I1179" s="35">
        <v>-122.756</v>
      </c>
      <c r="J1179" s="35">
        <v>48.4</v>
      </c>
      <c r="P1179" s="54" t="s">
        <v>180</v>
      </c>
      <c r="Q1179" s="54"/>
      <c r="R1179" s="54" t="s">
        <v>792</v>
      </c>
      <c r="S1179" s="54" t="s">
        <v>1645</v>
      </c>
      <c r="T1179" s="54" t="s">
        <v>1645</v>
      </c>
      <c r="V1179" s="35">
        <v>28</v>
      </c>
      <c r="W1179" s="35">
        <v>54</v>
      </c>
      <c r="X1179" s="35" t="s">
        <v>945</v>
      </c>
      <c r="Y1179" s="35">
        <v>5.4</v>
      </c>
      <c r="Z1179" s="35">
        <v>1.71</v>
      </c>
      <c r="AB1179" s="35" t="s">
        <v>1583</v>
      </c>
      <c r="AC1179" s="35" t="s">
        <v>1862</v>
      </c>
      <c r="AD1179" s="153" t="str">
        <f t="shared" si="254"/>
        <v>Triticale/Winter_pea</v>
      </c>
      <c r="AE1179" s="35" t="s">
        <v>947</v>
      </c>
      <c r="AG1179" s="35" t="s">
        <v>948</v>
      </c>
      <c r="AH1179" s="35" t="s">
        <v>948</v>
      </c>
      <c r="AI1179" s="35" t="s">
        <v>230</v>
      </c>
      <c r="AP1179" s="35" t="s">
        <v>154</v>
      </c>
      <c r="AQ1179" s="35">
        <v>4</v>
      </c>
      <c r="AR1179" s="35">
        <v>4</v>
      </c>
      <c r="AS1179" s="35" t="s">
        <v>177</v>
      </c>
      <c r="DS1179" s="35">
        <v>2.77</v>
      </c>
      <c r="DT1179" s="35">
        <v>2.7</v>
      </c>
      <c r="DU1179" s="35" t="s">
        <v>955</v>
      </c>
      <c r="FA1179" s="35" t="s">
        <v>953</v>
      </c>
      <c r="FC1179" s="35">
        <v>55</v>
      </c>
    </row>
    <row r="1180" spans="1:159" s="47" customFormat="1" x14ac:dyDescent="0.25">
      <c r="A1180" s="47">
        <v>55</v>
      </c>
      <c r="B1180" s="47" t="s">
        <v>937</v>
      </c>
      <c r="C1180" s="47" t="s">
        <v>938</v>
      </c>
      <c r="D1180" s="47">
        <v>2001</v>
      </c>
      <c r="E1180" s="47">
        <v>1998</v>
      </c>
      <c r="F1180" s="47" t="s">
        <v>943</v>
      </c>
      <c r="G1180" s="47" t="s">
        <v>944</v>
      </c>
      <c r="H1180" s="47">
        <v>44.56</v>
      </c>
      <c r="I1180" s="47">
        <v>-123.26</v>
      </c>
      <c r="J1180" s="47">
        <v>59.6</v>
      </c>
      <c r="P1180" s="82" t="s">
        <v>180</v>
      </c>
      <c r="Q1180" s="82"/>
      <c r="R1180" s="82" t="s">
        <v>792</v>
      </c>
      <c r="S1180" s="82" t="s">
        <v>1645</v>
      </c>
      <c r="T1180" s="82" t="s">
        <v>1645</v>
      </c>
      <c r="V1180" s="47">
        <v>22</v>
      </c>
      <c r="W1180" s="47">
        <v>52</v>
      </c>
      <c r="X1180" s="47" t="s">
        <v>945</v>
      </c>
      <c r="Y1180" s="47">
        <v>5.9</v>
      </c>
      <c r="Z1180" s="47">
        <v>1.65</v>
      </c>
      <c r="AB1180" s="47" t="s">
        <v>1583</v>
      </c>
      <c r="AC1180" s="47" t="s">
        <v>1862</v>
      </c>
      <c r="AD1180" s="153" t="str">
        <f t="shared" si="254"/>
        <v>Triticale/Winter_pea</v>
      </c>
      <c r="AE1180" s="47" t="s">
        <v>954</v>
      </c>
      <c r="AG1180" s="47" t="s">
        <v>949</v>
      </c>
      <c r="AH1180" s="47" t="s">
        <v>949</v>
      </c>
      <c r="AI1180" s="47" t="s">
        <v>230</v>
      </c>
      <c r="AP1180" s="47" t="s">
        <v>154</v>
      </c>
      <c r="AQ1180" s="47">
        <v>4</v>
      </c>
      <c r="AR1180" s="47">
        <v>4</v>
      </c>
      <c r="AS1180" s="47" t="s">
        <v>177</v>
      </c>
      <c r="DS1180" s="47">
        <v>2.58</v>
      </c>
      <c r="DT1180" s="47">
        <v>2.82</v>
      </c>
      <c r="DU1180" s="47" t="s">
        <v>955</v>
      </c>
      <c r="FA1180" s="47" t="s">
        <v>953</v>
      </c>
      <c r="FC1180" s="47">
        <v>55</v>
      </c>
    </row>
    <row r="1181" spans="1:159" s="35" customFormat="1" x14ac:dyDescent="0.25">
      <c r="A1181" s="35">
        <v>55</v>
      </c>
      <c r="B1181" s="35" t="s">
        <v>937</v>
      </c>
      <c r="C1181" s="35" t="s">
        <v>938</v>
      </c>
      <c r="D1181" s="35">
        <v>2001</v>
      </c>
      <c r="E1181" s="35">
        <v>1999</v>
      </c>
      <c r="F1181" s="35" t="s">
        <v>943</v>
      </c>
      <c r="G1181" s="35" t="s">
        <v>939</v>
      </c>
      <c r="H1181" s="35">
        <v>45.23</v>
      </c>
      <c r="I1181" s="35">
        <v>-122.756</v>
      </c>
      <c r="J1181" s="35">
        <v>48.4</v>
      </c>
      <c r="P1181" s="54" t="s">
        <v>181</v>
      </c>
      <c r="Q1181" s="54"/>
      <c r="R1181" s="54" t="s">
        <v>792</v>
      </c>
      <c r="S1181" s="54" t="s">
        <v>1645</v>
      </c>
      <c r="T1181" s="54" t="s">
        <v>1645</v>
      </c>
      <c r="V1181" s="35">
        <v>28</v>
      </c>
      <c r="W1181" s="35">
        <v>54</v>
      </c>
      <c r="X1181" s="35" t="s">
        <v>945</v>
      </c>
      <c r="Y1181" s="35">
        <v>5.4</v>
      </c>
      <c r="Z1181" s="35">
        <v>1.71</v>
      </c>
      <c r="AB1181" s="35" t="s">
        <v>1583</v>
      </c>
      <c r="AC1181" s="35" t="s">
        <v>940</v>
      </c>
      <c r="AD1181" s="153" t="str">
        <f t="shared" si="254"/>
        <v>Triticale</v>
      </c>
      <c r="AE1181" s="35" t="s">
        <v>954</v>
      </c>
      <c r="AG1181" s="35" t="s">
        <v>948</v>
      </c>
      <c r="AH1181" s="35" t="s">
        <v>948</v>
      </c>
      <c r="AI1181" s="35" t="s">
        <v>230</v>
      </c>
      <c r="AP1181" s="35" t="s">
        <v>154</v>
      </c>
      <c r="AQ1181" s="35">
        <v>4</v>
      </c>
      <c r="AR1181" s="35">
        <v>4</v>
      </c>
      <c r="AS1181" s="35" t="s">
        <v>177</v>
      </c>
      <c r="DS1181" s="35">
        <v>2.9</v>
      </c>
      <c r="DT1181" s="35">
        <v>2.9</v>
      </c>
      <c r="DU1181" s="35" t="s">
        <v>955</v>
      </c>
      <c r="FA1181" s="35" t="s">
        <v>953</v>
      </c>
      <c r="FC1181" s="35">
        <v>55</v>
      </c>
    </row>
    <row r="1182" spans="1:159" s="35" customFormat="1" x14ac:dyDescent="0.25">
      <c r="A1182" s="35">
        <v>55</v>
      </c>
      <c r="B1182" s="35" t="s">
        <v>937</v>
      </c>
      <c r="C1182" s="35" t="s">
        <v>938</v>
      </c>
      <c r="D1182" s="35">
        <v>2001</v>
      </c>
      <c r="E1182" s="35">
        <v>1999</v>
      </c>
      <c r="F1182" s="35" t="s">
        <v>943</v>
      </c>
      <c r="G1182" s="35" t="s">
        <v>939</v>
      </c>
      <c r="H1182" s="35">
        <v>45.23</v>
      </c>
      <c r="I1182" s="35">
        <v>-122.756</v>
      </c>
      <c r="J1182" s="35">
        <v>48.4</v>
      </c>
      <c r="P1182" s="54" t="s">
        <v>181</v>
      </c>
      <c r="Q1182" s="54"/>
      <c r="R1182" s="54" t="s">
        <v>792</v>
      </c>
      <c r="S1182" s="54" t="s">
        <v>1645</v>
      </c>
      <c r="T1182" s="54" t="s">
        <v>1645</v>
      </c>
      <c r="V1182" s="35">
        <v>28</v>
      </c>
      <c r="W1182" s="35">
        <v>54</v>
      </c>
      <c r="X1182" s="35" t="s">
        <v>945</v>
      </c>
      <c r="Y1182" s="35">
        <v>5.4</v>
      </c>
      <c r="Z1182" s="35">
        <v>1.71</v>
      </c>
      <c r="AB1182" s="35" t="s">
        <v>1583</v>
      </c>
      <c r="AC1182" s="35" t="s">
        <v>1862</v>
      </c>
      <c r="AD1182" s="153" t="str">
        <f t="shared" si="254"/>
        <v>Triticale/Winter_pea</v>
      </c>
      <c r="AE1182" s="35" t="s">
        <v>954</v>
      </c>
      <c r="AG1182" s="35" t="s">
        <v>948</v>
      </c>
      <c r="AH1182" s="35" t="s">
        <v>948</v>
      </c>
      <c r="AI1182" s="35" t="s">
        <v>230</v>
      </c>
      <c r="AP1182" s="35" t="s">
        <v>154</v>
      </c>
      <c r="AQ1182" s="35">
        <v>4</v>
      </c>
      <c r="AR1182" s="35">
        <v>4</v>
      </c>
      <c r="AS1182" s="35" t="s">
        <v>177</v>
      </c>
      <c r="DS1182" s="35">
        <v>2.9</v>
      </c>
      <c r="DT1182" s="35">
        <v>2.92</v>
      </c>
      <c r="DU1182" s="35" t="s">
        <v>955</v>
      </c>
      <c r="FA1182" s="35" t="s">
        <v>953</v>
      </c>
      <c r="FC1182" s="35">
        <v>55</v>
      </c>
    </row>
    <row r="1183" spans="1:159" s="47" customFormat="1" x14ac:dyDescent="0.25">
      <c r="A1183" s="47">
        <v>55</v>
      </c>
      <c r="B1183" s="47" t="s">
        <v>937</v>
      </c>
      <c r="C1183" s="47" t="s">
        <v>938</v>
      </c>
      <c r="D1183" s="47">
        <v>2001</v>
      </c>
      <c r="E1183" s="47">
        <v>1999</v>
      </c>
      <c r="F1183" s="47" t="s">
        <v>943</v>
      </c>
      <c r="G1183" s="47" t="s">
        <v>944</v>
      </c>
      <c r="H1183" s="47">
        <v>44.56</v>
      </c>
      <c r="I1183" s="47">
        <v>-123.26</v>
      </c>
      <c r="J1183" s="47">
        <v>59.6</v>
      </c>
      <c r="P1183" s="82" t="s">
        <v>181</v>
      </c>
      <c r="Q1183" s="82"/>
      <c r="R1183" s="82" t="s">
        <v>792</v>
      </c>
      <c r="S1183" s="82" t="s">
        <v>1645</v>
      </c>
      <c r="T1183" s="82" t="s">
        <v>1645</v>
      </c>
      <c r="V1183" s="47">
        <v>22</v>
      </c>
      <c r="W1183" s="47">
        <v>52</v>
      </c>
      <c r="X1183" s="47" t="s">
        <v>945</v>
      </c>
      <c r="Y1183" s="47">
        <v>5.9</v>
      </c>
      <c r="Z1183" s="47">
        <v>1.65</v>
      </c>
      <c r="AB1183" s="47" t="s">
        <v>1583</v>
      </c>
      <c r="AC1183" s="47" t="s">
        <v>1862</v>
      </c>
      <c r="AD1183" s="153" t="str">
        <f t="shared" si="254"/>
        <v>Triticale/Winter_pea</v>
      </c>
      <c r="AE1183" s="47" t="s">
        <v>954</v>
      </c>
      <c r="AG1183" s="47" t="s">
        <v>949</v>
      </c>
      <c r="AH1183" s="47" t="s">
        <v>949</v>
      </c>
      <c r="AI1183" s="47" t="s">
        <v>230</v>
      </c>
      <c r="AP1183" s="47" t="s">
        <v>154</v>
      </c>
      <c r="AQ1183" s="47">
        <v>4</v>
      </c>
      <c r="AR1183" s="47">
        <v>4</v>
      </c>
      <c r="AS1183" s="47" t="s">
        <v>177</v>
      </c>
      <c r="DS1183" s="47">
        <v>2.97</v>
      </c>
      <c r="DT1183" s="47">
        <v>3</v>
      </c>
      <c r="DU1183" s="47" t="s">
        <v>955</v>
      </c>
      <c r="FA1183" s="47" t="s">
        <v>953</v>
      </c>
      <c r="FC1183" s="47">
        <v>55</v>
      </c>
    </row>
    <row r="1184" spans="1:159" s="35" customFormat="1" x14ac:dyDescent="0.25">
      <c r="A1184" s="35">
        <v>55</v>
      </c>
      <c r="B1184" s="35" t="s">
        <v>937</v>
      </c>
      <c r="C1184" s="35" t="s">
        <v>938</v>
      </c>
      <c r="D1184" s="35">
        <v>2001</v>
      </c>
      <c r="E1184" s="35">
        <v>1998</v>
      </c>
      <c r="F1184" s="35" t="s">
        <v>943</v>
      </c>
      <c r="G1184" s="35" t="s">
        <v>939</v>
      </c>
      <c r="H1184" s="35">
        <v>45.23</v>
      </c>
      <c r="I1184" s="35">
        <v>-122.756</v>
      </c>
      <c r="J1184" s="35">
        <v>48.4</v>
      </c>
      <c r="P1184" s="54" t="s">
        <v>180</v>
      </c>
      <c r="Q1184" s="54"/>
      <c r="R1184" s="54" t="s">
        <v>794</v>
      </c>
      <c r="S1184" s="54" t="s">
        <v>1645</v>
      </c>
      <c r="T1184" s="54" t="s">
        <v>1645</v>
      </c>
      <c r="V1184" s="35">
        <v>28</v>
      </c>
      <c r="W1184" s="35">
        <v>54</v>
      </c>
      <c r="X1184" s="35" t="s">
        <v>945</v>
      </c>
      <c r="Y1184" s="35">
        <v>5.4</v>
      </c>
      <c r="Z1184" s="35">
        <v>1.71</v>
      </c>
      <c r="AB1184" s="35" t="s">
        <v>1583</v>
      </c>
      <c r="AC1184" s="35" t="s">
        <v>940</v>
      </c>
      <c r="AD1184" s="153" t="str">
        <f t="shared" si="254"/>
        <v>Triticale</v>
      </c>
      <c r="AE1184" s="35" t="s">
        <v>947</v>
      </c>
      <c r="AG1184" s="35" t="s">
        <v>948</v>
      </c>
      <c r="AH1184" s="35" t="s">
        <v>948</v>
      </c>
      <c r="AI1184" s="35" t="s">
        <v>230</v>
      </c>
      <c r="AP1184" s="35" t="s">
        <v>154</v>
      </c>
      <c r="AQ1184" s="35">
        <v>4</v>
      </c>
      <c r="AR1184" s="35">
        <v>4</v>
      </c>
      <c r="AS1184" s="35" t="s">
        <v>177</v>
      </c>
      <c r="DS1184" s="35">
        <v>2.95</v>
      </c>
      <c r="DT1184" s="35">
        <v>2.83</v>
      </c>
      <c r="DU1184" s="35" t="s">
        <v>955</v>
      </c>
      <c r="FA1184" s="35" t="s">
        <v>953</v>
      </c>
      <c r="FC1184" s="35">
        <v>55</v>
      </c>
    </row>
    <row r="1185" spans="1:159" s="35" customFormat="1" x14ac:dyDescent="0.25">
      <c r="A1185" s="35">
        <v>55</v>
      </c>
      <c r="B1185" s="35" t="s">
        <v>937</v>
      </c>
      <c r="C1185" s="35" t="s">
        <v>938</v>
      </c>
      <c r="D1185" s="35">
        <v>2001</v>
      </c>
      <c r="E1185" s="35">
        <v>1998</v>
      </c>
      <c r="F1185" s="35" t="s">
        <v>943</v>
      </c>
      <c r="G1185" s="35" t="s">
        <v>939</v>
      </c>
      <c r="H1185" s="35">
        <v>45.23</v>
      </c>
      <c r="I1185" s="35">
        <v>-122.756</v>
      </c>
      <c r="J1185" s="35">
        <v>48.4</v>
      </c>
      <c r="P1185" s="54" t="s">
        <v>180</v>
      </c>
      <c r="Q1185" s="54"/>
      <c r="R1185" s="54" t="s">
        <v>794</v>
      </c>
      <c r="S1185" s="54" t="s">
        <v>1645</v>
      </c>
      <c r="T1185" s="54" t="s">
        <v>1645</v>
      </c>
      <c r="V1185" s="35">
        <v>28</v>
      </c>
      <c r="W1185" s="35">
        <v>54</v>
      </c>
      <c r="X1185" s="35" t="s">
        <v>945</v>
      </c>
      <c r="Y1185" s="35">
        <v>5.4</v>
      </c>
      <c r="Z1185" s="35">
        <v>1.71</v>
      </c>
      <c r="AB1185" s="35" t="s">
        <v>1583</v>
      </c>
      <c r="AC1185" s="35" t="s">
        <v>1862</v>
      </c>
      <c r="AD1185" s="153" t="str">
        <f t="shared" si="254"/>
        <v>Triticale/Winter_pea</v>
      </c>
      <c r="AE1185" s="35" t="s">
        <v>947</v>
      </c>
      <c r="AG1185" s="35" t="s">
        <v>948</v>
      </c>
      <c r="AH1185" s="35" t="s">
        <v>948</v>
      </c>
      <c r="AI1185" s="35" t="s">
        <v>230</v>
      </c>
      <c r="AP1185" s="35" t="s">
        <v>154</v>
      </c>
      <c r="AQ1185" s="35">
        <v>4</v>
      </c>
      <c r="AR1185" s="35">
        <v>4</v>
      </c>
      <c r="AS1185" s="35" t="s">
        <v>177</v>
      </c>
      <c r="DS1185" s="35">
        <v>2.95</v>
      </c>
      <c r="DT1185" s="35">
        <v>2.89</v>
      </c>
      <c r="DU1185" s="35" t="s">
        <v>955</v>
      </c>
      <c r="FA1185" s="35" t="s">
        <v>953</v>
      </c>
      <c r="FC1185" s="35">
        <v>55</v>
      </c>
    </row>
    <row r="1186" spans="1:159" s="47" customFormat="1" x14ac:dyDescent="0.25">
      <c r="A1186" s="47">
        <v>55</v>
      </c>
      <c r="B1186" s="47" t="s">
        <v>937</v>
      </c>
      <c r="C1186" s="47" t="s">
        <v>938</v>
      </c>
      <c r="D1186" s="47">
        <v>2001</v>
      </c>
      <c r="E1186" s="47">
        <v>1998</v>
      </c>
      <c r="F1186" s="47" t="s">
        <v>943</v>
      </c>
      <c r="G1186" s="47" t="s">
        <v>944</v>
      </c>
      <c r="H1186" s="47">
        <v>44.56</v>
      </c>
      <c r="I1186" s="47">
        <v>-123.26</v>
      </c>
      <c r="J1186" s="47">
        <v>59.6</v>
      </c>
      <c r="P1186" s="82" t="s">
        <v>180</v>
      </c>
      <c r="Q1186" s="82"/>
      <c r="R1186" s="82" t="s">
        <v>794</v>
      </c>
      <c r="S1186" s="82" t="s">
        <v>1645</v>
      </c>
      <c r="T1186" s="82" t="s">
        <v>1645</v>
      </c>
      <c r="V1186" s="47">
        <v>22</v>
      </c>
      <c r="W1186" s="47">
        <v>52</v>
      </c>
      <c r="X1186" s="47" t="s">
        <v>945</v>
      </c>
      <c r="Y1186" s="47">
        <v>5.9</v>
      </c>
      <c r="Z1186" s="47">
        <v>1.65</v>
      </c>
      <c r="AB1186" s="47" t="s">
        <v>1583</v>
      </c>
      <c r="AC1186" s="47" t="s">
        <v>1862</v>
      </c>
      <c r="AD1186" s="153" t="str">
        <f t="shared" si="254"/>
        <v>Triticale/Winter_pea</v>
      </c>
      <c r="AE1186" s="47" t="s">
        <v>954</v>
      </c>
      <c r="AG1186" s="47" t="s">
        <v>949</v>
      </c>
      <c r="AH1186" s="47" t="s">
        <v>949</v>
      </c>
      <c r="AI1186" s="47" t="s">
        <v>230</v>
      </c>
      <c r="AP1186" s="47" t="s">
        <v>154</v>
      </c>
      <c r="AQ1186" s="47">
        <v>4</v>
      </c>
      <c r="AR1186" s="47">
        <v>4</v>
      </c>
      <c r="AS1186" s="47" t="s">
        <v>177</v>
      </c>
      <c r="DS1186" s="47">
        <v>2.7</v>
      </c>
      <c r="DT1186" s="47">
        <v>2.84</v>
      </c>
      <c r="DU1186" s="47" t="s">
        <v>955</v>
      </c>
      <c r="FA1186" s="47" t="s">
        <v>953</v>
      </c>
      <c r="FC1186" s="47">
        <v>55</v>
      </c>
    </row>
    <row r="1187" spans="1:159" s="35" customFormat="1" x14ac:dyDescent="0.25">
      <c r="A1187" s="35">
        <v>55</v>
      </c>
      <c r="B1187" s="35" t="s">
        <v>937</v>
      </c>
      <c r="C1187" s="35" t="s">
        <v>938</v>
      </c>
      <c r="D1187" s="35">
        <v>2001</v>
      </c>
      <c r="E1187" s="35">
        <v>1999</v>
      </c>
      <c r="F1187" s="35" t="s">
        <v>943</v>
      </c>
      <c r="G1187" s="35" t="s">
        <v>939</v>
      </c>
      <c r="H1187" s="35">
        <v>45.23</v>
      </c>
      <c r="I1187" s="35">
        <v>-122.756</v>
      </c>
      <c r="J1187" s="35">
        <v>48.4</v>
      </c>
      <c r="P1187" s="54" t="s">
        <v>181</v>
      </c>
      <c r="Q1187" s="54"/>
      <c r="R1187" s="54" t="s">
        <v>794</v>
      </c>
      <c r="S1187" s="54" t="s">
        <v>1645</v>
      </c>
      <c r="T1187" s="54" t="s">
        <v>1645</v>
      </c>
      <c r="V1187" s="35">
        <v>28</v>
      </c>
      <c r="W1187" s="35">
        <v>54</v>
      </c>
      <c r="X1187" s="35" t="s">
        <v>945</v>
      </c>
      <c r="Y1187" s="35">
        <v>5.4</v>
      </c>
      <c r="Z1187" s="35">
        <v>1.71</v>
      </c>
      <c r="AB1187" s="35" t="s">
        <v>1583</v>
      </c>
      <c r="AC1187" s="35" t="s">
        <v>940</v>
      </c>
      <c r="AD1187" s="153" t="str">
        <f t="shared" si="254"/>
        <v>Triticale</v>
      </c>
      <c r="AE1187" s="35" t="s">
        <v>954</v>
      </c>
      <c r="AG1187" s="35" t="s">
        <v>948</v>
      </c>
      <c r="AH1187" s="35" t="s">
        <v>948</v>
      </c>
      <c r="AI1187" s="35" t="s">
        <v>230</v>
      </c>
      <c r="AP1187" s="35" t="s">
        <v>154</v>
      </c>
      <c r="AQ1187" s="35">
        <v>4</v>
      </c>
      <c r="AR1187" s="35">
        <v>4</v>
      </c>
      <c r="AS1187" s="35" t="s">
        <v>177</v>
      </c>
      <c r="DS1187" s="35">
        <v>2.78</v>
      </c>
      <c r="DT1187" s="35">
        <v>2.75</v>
      </c>
      <c r="DU1187" s="35" t="s">
        <v>955</v>
      </c>
      <c r="FA1187" s="35" t="s">
        <v>953</v>
      </c>
      <c r="FC1187" s="35">
        <v>55</v>
      </c>
    </row>
    <row r="1188" spans="1:159" s="35" customFormat="1" x14ac:dyDescent="0.25">
      <c r="A1188" s="35">
        <v>55</v>
      </c>
      <c r="B1188" s="35" t="s">
        <v>937</v>
      </c>
      <c r="C1188" s="35" t="s">
        <v>938</v>
      </c>
      <c r="D1188" s="35">
        <v>2001</v>
      </c>
      <c r="E1188" s="35">
        <v>1999</v>
      </c>
      <c r="F1188" s="35" t="s">
        <v>943</v>
      </c>
      <c r="G1188" s="35" t="s">
        <v>939</v>
      </c>
      <c r="H1188" s="35">
        <v>45.23</v>
      </c>
      <c r="I1188" s="35">
        <v>-122.756</v>
      </c>
      <c r="J1188" s="35">
        <v>48.4</v>
      </c>
      <c r="P1188" s="54" t="s">
        <v>181</v>
      </c>
      <c r="Q1188" s="54"/>
      <c r="R1188" s="54" t="s">
        <v>794</v>
      </c>
      <c r="S1188" s="54" t="s">
        <v>1645</v>
      </c>
      <c r="T1188" s="54" t="s">
        <v>1645</v>
      </c>
      <c r="V1188" s="35">
        <v>28</v>
      </c>
      <c r="W1188" s="35">
        <v>54</v>
      </c>
      <c r="X1188" s="35" t="s">
        <v>945</v>
      </c>
      <c r="Y1188" s="35">
        <v>5.4</v>
      </c>
      <c r="Z1188" s="35">
        <v>1.71</v>
      </c>
      <c r="AB1188" s="35" t="s">
        <v>1583</v>
      </c>
      <c r="AC1188" s="35" t="s">
        <v>1862</v>
      </c>
      <c r="AD1188" s="153" t="str">
        <f t="shared" si="254"/>
        <v>Triticale/Winter_pea</v>
      </c>
      <c r="AE1188" s="35" t="s">
        <v>954</v>
      </c>
      <c r="AG1188" s="35" t="s">
        <v>948</v>
      </c>
      <c r="AH1188" s="35" t="s">
        <v>948</v>
      </c>
      <c r="AI1188" s="35" t="s">
        <v>230</v>
      </c>
      <c r="AP1188" s="35" t="s">
        <v>154</v>
      </c>
      <c r="AQ1188" s="35">
        <v>4</v>
      </c>
      <c r="AR1188" s="35">
        <v>4</v>
      </c>
      <c r="AS1188" s="35" t="s">
        <v>177</v>
      </c>
      <c r="DS1188" s="35">
        <v>2.78</v>
      </c>
      <c r="DT1188" s="35">
        <v>2.76</v>
      </c>
      <c r="DU1188" s="35" t="s">
        <v>955</v>
      </c>
      <c r="FA1188" s="35" t="s">
        <v>953</v>
      </c>
      <c r="FC1188" s="35">
        <v>55</v>
      </c>
    </row>
    <row r="1189" spans="1:159" s="47" customFormat="1" x14ac:dyDescent="0.25">
      <c r="A1189" s="47">
        <v>55</v>
      </c>
      <c r="B1189" s="47" t="s">
        <v>937</v>
      </c>
      <c r="C1189" s="47" t="s">
        <v>938</v>
      </c>
      <c r="D1189" s="47">
        <v>2001</v>
      </c>
      <c r="E1189" s="47">
        <v>1999</v>
      </c>
      <c r="F1189" s="47" t="s">
        <v>943</v>
      </c>
      <c r="G1189" s="47" t="s">
        <v>944</v>
      </c>
      <c r="H1189" s="47">
        <v>44.56</v>
      </c>
      <c r="I1189" s="47">
        <v>-123.26</v>
      </c>
      <c r="J1189" s="47">
        <v>59.6</v>
      </c>
      <c r="P1189" s="82" t="s">
        <v>181</v>
      </c>
      <c r="Q1189" s="82"/>
      <c r="R1189" s="82" t="s">
        <v>794</v>
      </c>
      <c r="S1189" s="82" t="s">
        <v>1645</v>
      </c>
      <c r="T1189" s="82" t="s">
        <v>1645</v>
      </c>
      <c r="V1189" s="47">
        <v>22</v>
      </c>
      <c r="W1189" s="47">
        <v>52</v>
      </c>
      <c r="X1189" s="47" t="s">
        <v>945</v>
      </c>
      <c r="Y1189" s="47">
        <v>5.9</v>
      </c>
      <c r="Z1189" s="47">
        <v>1.65</v>
      </c>
      <c r="AB1189" s="47" t="s">
        <v>1583</v>
      </c>
      <c r="AC1189" s="47" t="s">
        <v>1862</v>
      </c>
      <c r="AD1189" s="153" t="str">
        <f t="shared" si="254"/>
        <v>Triticale/Winter_pea</v>
      </c>
      <c r="AE1189" s="47" t="s">
        <v>954</v>
      </c>
      <c r="AG1189" s="47" t="s">
        <v>949</v>
      </c>
      <c r="AH1189" s="47" t="s">
        <v>949</v>
      </c>
      <c r="AI1189" s="47" t="s">
        <v>230</v>
      </c>
      <c r="AP1189" s="47" t="s">
        <v>154</v>
      </c>
      <c r="AQ1189" s="47">
        <v>4</v>
      </c>
      <c r="AR1189" s="47">
        <v>4</v>
      </c>
      <c r="AS1189" s="47" t="s">
        <v>177</v>
      </c>
      <c r="DS1189" s="47">
        <v>2.72</v>
      </c>
      <c r="DT1189" s="47">
        <v>2.84</v>
      </c>
      <c r="DU1189" s="47" t="s">
        <v>955</v>
      </c>
      <c r="FA1189" s="26" t="s">
        <v>953</v>
      </c>
      <c r="FC1189" s="47">
        <v>55</v>
      </c>
    </row>
    <row r="1190" spans="1:159" s="23" customFormat="1" x14ac:dyDescent="0.25">
      <c r="A1190" s="23">
        <v>56</v>
      </c>
      <c r="B1190" s="23" t="s">
        <v>937</v>
      </c>
      <c r="C1190" s="23" t="s">
        <v>938</v>
      </c>
      <c r="D1190" s="23">
        <v>2002</v>
      </c>
      <c r="E1190" s="23">
        <v>1998</v>
      </c>
      <c r="F1190" s="23" t="s">
        <v>524</v>
      </c>
      <c r="G1190" s="23" t="s">
        <v>944</v>
      </c>
      <c r="H1190" s="23">
        <v>44.56</v>
      </c>
      <c r="I1190" s="23">
        <v>-123.26</v>
      </c>
      <c r="J1190" s="23">
        <v>59.6</v>
      </c>
      <c r="P1190" s="53" t="s">
        <v>180</v>
      </c>
      <c r="Q1190" s="53"/>
      <c r="R1190" s="53" t="s">
        <v>269</v>
      </c>
      <c r="S1190" s="53" t="s">
        <v>1645</v>
      </c>
      <c r="T1190" s="53" t="s">
        <v>1645</v>
      </c>
      <c r="V1190" s="23">
        <v>22</v>
      </c>
      <c r="W1190" s="23">
        <v>52</v>
      </c>
      <c r="X1190" s="23" t="s">
        <v>945</v>
      </c>
      <c r="Y1190" s="23">
        <v>5.9</v>
      </c>
      <c r="Z1190" s="23">
        <v>1.65</v>
      </c>
      <c r="AB1190" s="23" t="s">
        <v>1583</v>
      </c>
      <c r="AC1190" s="23" t="s">
        <v>1862</v>
      </c>
      <c r="AD1190" s="153" t="str">
        <f t="shared" si="254"/>
        <v>Triticale/Winter_pea</v>
      </c>
      <c r="AE1190" s="23" t="s">
        <v>954</v>
      </c>
      <c r="AG1190" s="23" t="s">
        <v>949</v>
      </c>
      <c r="AH1190" s="23" t="s">
        <v>949</v>
      </c>
      <c r="AI1190" s="23" t="s">
        <v>230</v>
      </c>
      <c r="AP1190" s="23" t="s">
        <v>154</v>
      </c>
      <c r="AQ1190" s="23">
        <v>4</v>
      </c>
      <c r="AR1190" s="23">
        <v>4</v>
      </c>
      <c r="AS1190" s="23" t="s">
        <v>177</v>
      </c>
      <c r="DY1190" s="23">
        <f>29.8/7</f>
        <v>4.2571428571428571</v>
      </c>
      <c r="DZ1190" s="23">
        <f>31.6/7</f>
        <v>4.5142857142857142</v>
      </c>
      <c r="EH1190" s="23">
        <f>5.72</f>
        <v>5.72</v>
      </c>
      <c r="EI1190" s="23">
        <v>7.31</v>
      </c>
      <c r="EJ1190" s="23" t="s">
        <v>962</v>
      </c>
      <c r="EQ1190" s="23">
        <v>231</v>
      </c>
      <c r="ER1190" s="23">
        <v>253</v>
      </c>
      <c r="ES1190" s="23" t="s">
        <v>961</v>
      </c>
      <c r="FC1190" s="23">
        <v>56</v>
      </c>
    </row>
    <row r="1191" spans="1:159" s="23" customFormat="1" x14ac:dyDescent="0.25">
      <c r="A1191" s="23">
        <v>56</v>
      </c>
      <c r="B1191" s="23" t="s">
        <v>937</v>
      </c>
      <c r="C1191" s="23" t="s">
        <v>938</v>
      </c>
      <c r="D1191" s="23">
        <v>2002</v>
      </c>
      <c r="E1191" s="23">
        <v>1998</v>
      </c>
      <c r="F1191" s="23" t="s">
        <v>524</v>
      </c>
      <c r="G1191" s="23" t="s">
        <v>944</v>
      </c>
      <c r="H1191" s="23">
        <v>44.56</v>
      </c>
      <c r="I1191" s="23">
        <v>-123.26</v>
      </c>
      <c r="J1191" s="23">
        <v>59.6</v>
      </c>
      <c r="P1191" s="53" t="s">
        <v>180</v>
      </c>
      <c r="Q1191" s="53"/>
      <c r="R1191" s="53" t="s">
        <v>284</v>
      </c>
      <c r="S1191" s="53" t="s">
        <v>1645</v>
      </c>
      <c r="T1191" s="53" t="s">
        <v>1645</v>
      </c>
      <c r="V1191" s="23">
        <v>22</v>
      </c>
      <c r="W1191" s="23">
        <v>52</v>
      </c>
      <c r="X1191" s="23" t="s">
        <v>945</v>
      </c>
      <c r="Y1191" s="23">
        <v>5.9</v>
      </c>
      <c r="Z1191" s="23">
        <v>1.65</v>
      </c>
      <c r="AB1191" s="23" t="s">
        <v>1583</v>
      </c>
      <c r="AC1191" s="23" t="s">
        <v>1862</v>
      </c>
      <c r="AD1191" s="153" t="str">
        <f t="shared" si="254"/>
        <v>Triticale/Winter_pea</v>
      </c>
      <c r="AE1191" s="23" t="s">
        <v>954</v>
      </c>
      <c r="AG1191" s="23" t="s">
        <v>949</v>
      </c>
      <c r="AH1191" s="23" t="s">
        <v>949</v>
      </c>
      <c r="AI1191" s="23" t="s">
        <v>230</v>
      </c>
      <c r="AP1191" s="23" t="s">
        <v>154</v>
      </c>
      <c r="AQ1191" s="23">
        <v>4</v>
      </c>
      <c r="AR1191" s="23">
        <v>4</v>
      </c>
      <c r="AS1191" s="23" t="s">
        <v>177</v>
      </c>
      <c r="DY1191" s="23">
        <f>15.2/7</f>
        <v>2.1714285714285713</v>
      </c>
      <c r="DZ1191" s="23">
        <f>31.4/7</f>
        <v>4.4857142857142858</v>
      </c>
      <c r="EH1191" s="23">
        <v>3.37</v>
      </c>
      <c r="EI1191" s="23">
        <v>5.31</v>
      </c>
      <c r="EJ1191" s="23" t="s">
        <v>962</v>
      </c>
      <c r="EQ1191" s="23">
        <v>133</v>
      </c>
      <c r="ER1191" s="23">
        <v>222</v>
      </c>
      <c r="ES1191" s="23" t="s">
        <v>961</v>
      </c>
      <c r="FC1191" s="23">
        <v>56</v>
      </c>
    </row>
    <row r="1192" spans="1:159" s="23" customFormat="1" x14ac:dyDescent="0.25">
      <c r="A1192" s="23">
        <v>56</v>
      </c>
      <c r="B1192" s="23" t="s">
        <v>937</v>
      </c>
      <c r="C1192" s="23" t="s">
        <v>938</v>
      </c>
      <c r="D1192" s="23">
        <v>2002</v>
      </c>
      <c r="E1192" s="23">
        <v>1998</v>
      </c>
      <c r="F1192" s="23" t="s">
        <v>524</v>
      </c>
      <c r="G1192" s="23" t="s">
        <v>944</v>
      </c>
      <c r="H1192" s="23">
        <v>44.56</v>
      </c>
      <c r="I1192" s="23">
        <v>-123.26</v>
      </c>
      <c r="J1192" s="23">
        <v>59.6</v>
      </c>
      <c r="P1192" s="53" t="s">
        <v>180</v>
      </c>
      <c r="Q1192" s="53"/>
      <c r="R1192" s="53" t="s">
        <v>960</v>
      </c>
      <c r="S1192" s="53" t="s">
        <v>1645</v>
      </c>
      <c r="T1192" s="53" t="s">
        <v>1645</v>
      </c>
      <c r="V1192" s="23">
        <v>22</v>
      </c>
      <c r="W1192" s="23">
        <v>52</v>
      </c>
      <c r="X1192" s="23" t="s">
        <v>945</v>
      </c>
      <c r="Y1192" s="23">
        <v>5.9</v>
      </c>
      <c r="Z1192" s="23">
        <v>1.65</v>
      </c>
      <c r="AB1192" s="23" t="s">
        <v>1583</v>
      </c>
      <c r="AC1192" s="23" t="s">
        <v>1862</v>
      </c>
      <c r="AD1192" s="153" t="str">
        <f t="shared" si="254"/>
        <v>Triticale/Winter_pea</v>
      </c>
      <c r="AE1192" s="23" t="s">
        <v>954</v>
      </c>
      <c r="AG1192" s="23" t="s">
        <v>949</v>
      </c>
      <c r="AH1192" s="23" t="s">
        <v>949</v>
      </c>
      <c r="AI1192" s="23" t="s">
        <v>230</v>
      </c>
      <c r="AP1192" s="23" t="s">
        <v>154</v>
      </c>
      <c r="AQ1192" s="23">
        <v>4</v>
      </c>
      <c r="AR1192" s="23">
        <v>4</v>
      </c>
      <c r="AS1192" s="23" t="s">
        <v>177</v>
      </c>
      <c r="DY1192" s="23">
        <f>12.6/7</f>
        <v>1.8</v>
      </c>
      <c r="DZ1192" s="23">
        <f>20.9/7</f>
        <v>2.9857142857142853</v>
      </c>
      <c r="EH1192" s="23">
        <v>3.41</v>
      </c>
      <c r="EI1192" s="23">
        <v>5.16</v>
      </c>
      <c r="EJ1192" s="23" t="s">
        <v>962</v>
      </c>
      <c r="EQ1192" s="23">
        <v>188</v>
      </c>
      <c r="ER1192" s="23">
        <v>315</v>
      </c>
      <c r="ES1192" s="23" t="s">
        <v>961</v>
      </c>
      <c r="FC1192" s="23">
        <v>56</v>
      </c>
    </row>
    <row r="1193" spans="1:159" s="23" customFormat="1" x14ac:dyDescent="0.25">
      <c r="A1193" s="23">
        <v>56</v>
      </c>
      <c r="B1193" s="23" t="s">
        <v>937</v>
      </c>
      <c r="C1193" s="23" t="s">
        <v>938</v>
      </c>
      <c r="D1193" s="23">
        <v>2002</v>
      </c>
      <c r="E1193" s="23">
        <v>1999</v>
      </c>
      <c r="F1193" s="23" t="s">
        <v>524</v>
      </c>
      <c r="G1193" s="23" t="s">
        <v>944</v>
      </c>
      <c r="H1193" s="23">
        <v>44.56</v>
      </c>
      <c r="I1193" s="23">
        <v>-123.26</v>
      </c>
      <c r="J1193" s="23">
        <v>59.6</v>
      </c>
      <c r="P1193" s="53" t="s">
        <v>181</v>
      </c>
      <c r="Q1193" s="53"/>
      <c r="R1193" s="53" t="s">
        <v>269</v>
      </c>
      <c r="S1193" s="53" t="s">
        <v>1645</v>
      </c>
      <c r="T1193" s="53" t="s">
        <v>1645</v>
      </c>
      <c r="V1193" s="23">
        <v>22</v>
      </c>
      <c r="W1193" s="23">
        <v>52</v>
      </c>
      <c r="X1193" s="23" t="s">
        <v>945</v>
      </c>
      <c r="Y1193" s="23">
        <v>5.9</v>
      </c>
      <c r="Z1193" s="23">
        <v>1.65</v>
      </c>
      <c r="AB1193" s="23" t="s">
        <v>1583</v>
      </c>
      <c r="AC1193" s="23" t="s">
        <v>1862</v>
      </c>
      <c r="AD1193" s="153" t="str">
        <f t="shared" si="254"/>
        <v>Triticale/Winter_pea</v>
      </c>
      <c r="AE1193" s="23" t="s">
        <v>954</v>
      </c>
      <c r="AG1193" s="23" t="s">
        <v>949</v>
      </c>
      <c r="AH1193" s="23" t="s">
        <v>949</v>
      </c>
      <c r="AI1193" s="23" t="s">
        <v>230</v>
      </c>
      <c r="AP1193" s="23" t="s">
        <v>154</v>
      </c>
      <c r="AQ1193" s="23">
        <v>4</v>
      </c>
      <c r="AR1193" s="23">
        <v>4</v>
      </c>
      <c r="AS1193" s="23" t="s">
        <v>177</v>
      </c>
      <c r="DY1193" s="23">
        <f>21.7/7</f>
        <v>3.1</v>
      </c>
      <c r="DZ1193" s="23">
        <f>34.5/7</f>
        <v>4.9285714285714288</v>
      </c>
      <c r="EH1193" s="23">
        <v>1.55</v>
      </c>
      <c r="EI1193" s="23">
        <v>2.97</v>
      </c>
      <c r="EJ1193" s="23" t="s">
        <v>962</v>
      </c>
      <c r="EQ1193" s="23">
        <v>153</v>
      </c>
      <c r="ER1193" s="23">
        <v>184</v>
      </c>
      <c r="ES1193" s="23" t="s">
        <v>961</v>
      </c>
      <c r="FC1193" s="23">
        <v>56</v>
      </c>
    </row>
    <row r="1194" spans="1:159" s="47" customFormat="1" x14ac:dyDescent="0.25">
      <c r="A1194" s="47">
        <v>57</v>
      </c>
      <c r="B1194" s="47" t="s">
        <v>1016</v>
      </c>
      <c r="C1194" s="47" t="s">
        <v>1017</v>
      </c>
      <c r="D1194" s="47">
        <v>1990</v>
      </c>
      <c r="E1194" s="47">
        <v>1973</v>
      </c>
      <c r="F1194" s="47" t="s">
        <v>1021</v>
      </c>
      <c r="G1194" s="47" t="s">
        <v>1018</v>
      </c>
      <c r="H1194" s="47">
        <v>34.200000000000003</v>
      </c>
      <c r="I1194" s="47">
        <v>-90.58</v>
      </c>
      <c r="J1194" s="47">
        <v>55.3</v>
      </c>
      <c r="P1194" s="82" t="s">
        <v>179</v>
      </c>
      <c r="Q1194" s="47" t="s">
        <v>1060</v>
      </c>
      <c r="R1194" s="82"/>
      <c r="S1194" s="82" t="s">
        <v>1647</v>
      </c>
      <c r="T1194" s="82" t="s">
        <v>1647</v>
      </c>
      <c r="U1194" s="47">
        <v>1.325</v>
      </c>
      <c r="X1194" s="47" t="s">
        <v>168</v>
      </c>
      <c r="AB1194" s="47" t="s">
        <v>1584</v>
      </c>
      <c r="AC1194" s="47" t="s">
        <v>166</v>
      </c>
      <c r="AD1194" s="153" t="str">
        <f t="shared" si="254"/>
        <v>Rye</v>
      </c>
      <c r="AE1194" s="47" t="s">
        <v>709</v>
      </c>
      <c r="AM1194" s="47" t="s">
        <v>1030</v>
      </c>
      <c r="AN1194" s="47" t="s">
        <v>1030</v>
      </c>
      <c r="AO1194" s="47" t="s">
        <v>230</v>
      </c>
      <c r="AP1194" s="47" t="s">
        <v>208</v>
      </c>
      <c r="AQ1194" s="47">
        <v>4</v>
      </c>
      <c r="AR1194" s="47">
        <v>4</v>
      </c>
      <c r="AS1194" s="47" t="s">
        <v>177</v>
      </c>
      <c r="AX1194" s="47" t="s">
        <v>1019</v>
      </c>
      <c r="BB1194" s="47">
        <v>2350</v>
      </c>
      <c r="BC1194" s="47">
        <v>2434</v>
      </c>
      <c r="FA1194" s="47" t="s">
        <v>1039</v>
      </c>
      <c r="FC1194" s="47">
        <v>57</v>
      </c>
    </row>
    <row r="1195" spans="1:159" s="47" customFormat="1" x14ac:dyDescent="0.25">
      <c r="A1195" s="47">
        <v>57</v>
      </c>
      <c r="B1195" s="47" t="s">
        <v>1016</v>
      </c>
      <c r="C1195" s="47" t="s">
        <v>1017</v>
      </c>
      <c r="D1195" s="47">
        <v>1990</v>
      </c>
      <c r="E1195" s="47">
        <v>1973</v>
      </c>
      <c r="F1195" s="47" t="s">
        <v>1021</v>
      </c>
      <c r="G1195" s="47" t="s">
        <v>1018</v>
      </c>
      <c r="H1195" s="47">
        <v>34.200000000000003</v>
      </c>
      <c r="I1195" s="47">
        <v>-90.58</v>
      </c>
      <c r="J1195" s="47">
        <v>55.3</v>
      </c>
      <c r="P1195" s="82" t="s">
        <v>179</v>
      </c>
      <c r="Q1195" s="47" t="s">
        <v>1060</v>
      </c>
      <c r="R1195" s="82"/>
      <c r="S1195" s="82" t="s">
        <v>1647</v>
      </c>
      <c r="T1195" s="82" t="s">
        <v>1647</v>
      </c>
      <c r="U1195" s="47">
        <v>1.325</v>
      </c>
      <c r="X1195" s="47" t="s">
        <v>168</v>
      </c>
      <c r="AB1195" s="47" t="s">
        <v>1584</v>
      </c>
      <c r="AC1195" s="47" t="s">
        <v>301</v>
      </c>
      <c r="AD1195" s="153" t="str">
        <f t="shared" si="254"/>
        <v>Vetch</v>
      </c>
      <c r="AE1195" s="47" t="s">
        <v>709</v>
      </c>
      <c r="AM1195" s="47" t="s">
        <v>1030</v>
      </c>
      <c r="AN1195" s="47" t="s">
        <v>1030</v>
      </c>
      <c r="AO1195" s="47" t="s">
        <v>230</v>
      </c>
      <c r="AP1195" s="47" t="s">
        <v>208</v>
      </c>
      <c r="AQ1195" s="47">
        <v>4</v>
      </c>
      <c r="AR1195" s="47">
        <v>4</v>
      </c>
      <c r="AS1195" s="47" t="s">
        <v>177</v>
      </c>
      <c r="AX1195" s="47" t="s">
        <v>1019</v>
      </c>
      <c r="BB1195" s="47">
        <v>2350</v>
      </c>
      <c r="BC1195" s="47">
        <v>2492</v>
      </c>
      <c r="FA1195" s="47" t="s">
        <v>1039</v>
      </c>
      <c r="FC1195" s="47">
        <v>57</v>
      </c>
    </row>
    <row r="1196" spans="1:159" s="47" customFormat="1" x14ac:dyDescent="0.25">
      <c r="A1196" s="47">
        <v>57</v>
      </c>
      <c r="B1196" s="47" t="s">
        <v>1016</v>
      </c>
      <c r="C1196" s="47" t="s">
        <v>1017</v>
      </c>
      <c r="D1196" s="47">
        <v>1990</v>
      </c>
      <c r="E1196" s="47">
        <v>1973</v>
      </c>
      <c r="F1196" s="47" t="s">
        <v>1021</v>
      </c>
      <c r="G1196" s="47" t="s">
        <v>1018</v>
      </c>
      <c r="H1196" s="47">
        <v>34.200000000000003</v>
      </c>
      <c r="I1196" s="47">
        <v>-90.58</v>
      </c>
      <c r="J1196" s="47">
        <v>55.3</v>
      </c>
      <c r="P1196" s="82" t="s">
        <v>179</v>
      </c>
      <c r="Q1196" s="47" t="s">
        <v>1060</v>
      </c>
      <c r="R1196" s="82"/>
      <c r="S1196" s="82" t="s">
        <v>1647</v>
      </c>
      <c r="T1196" s="82" t="s">
        <v>1647</v>
      </c>
      <c r="U1196" s="47">
        <v>1.325</v>
      </c>
      <c r="X1196" s="47" t="s">
        <v>168</v>
      </c>
      <c r="AB1196" s="47" t="s">
        <v>1584</v>
      </c>
      <c r="AC1196" s="47" t="s">
        <v>1020</v>
      </c>
      <c r="AD1196" s="153" t="str">
        <f t="shared" si="254"/>
        <v>Legume</v>
      </c>
      <c r="AE1196" s="47" t="s">
        <v>709</v>
      </c>
      <c r="AM1196" s="47" t="s">
        <v>1030</v>
      </c>
      <c r="AN1196" s="47" t="s">
        <v>1030</v>
      </c>
      <c r="AO1196" s="47" t="s">
        <v>230</v>
      </c>
      <c r="AP1196" s="47" t="s">
        <v>208</v>
      </c>
      <c r="AQ1196" s="47">
        <v>4</v>
      </c>
      <c r="AR1196" s="47">
        <v>4</v>
      </c>
      <c r="AS1196" s="47" t="s">
        <v>177</v>
      </c>
      <c r="AX1196" s="47" t="s">
        <v>1019</v>
      </c>
      <c r="BB1196" s="47">
        <v>2350</v>
      </c>
      <c r="BC1196" s="47">
        <v>2156</v>
      </c>
      <c r="FA1196" s="47" t="s">
        <v>1039</v>
      </c>
      <c r="FC1196" s="47">
        <v>57</v>
      </c>
    </row>
    <row r="1197" spans="1:159" s="35" customFormat="1" x14ac:dyDescent="0.25">
      <c r="A1197" s="35">
        <v>57</v>
      </c>
      <c r="B1197" s="35" t="s">
        <v>1016</v>
      </c>
      <c r="C1197" s="35" t="s">
        <v>1017</v>
      </c>
      <c r="D1197" s="35">
        <v>1990</v>
      </c>
      <c r="E1197" s="35">
        <v>1974</v>
      </c>
      <c r="F1197" s="35" t="s">
        <v>1021</v>
      </c>
      <c r="G1197" s="35" t="s">
        <v>1018</v>
      </c>
      <c r="H1197" s="35">
        <v>34.200000000000003</v>
      </c>
      <c r="I1197" s="35">
        <v>-90.58</v>
      </c>
      <c r="J1197" s="35">
        <v>55.3</v>
      </c>
      <c r="P1197" s="54" t="s">
        <v>180</v>
      </c>
      <c r="Q1197" s="54" t="s">
        <v>1063</v>
      </c>
      <c r="R1197" s="54"/>
      <c r="S1197" s="54" t="s">
        <v>1647</v>
      </c>
      <c r="T1197" s="54" t="s">
        <v>1647</v>
      </c>
      <c r="U1197" s="35">
        <v>1.325</v>
      </c>
      <c r="X1197" s="35" t="s">
        <v>168</v>
      </c>
      <c r="AB1197" s="35" t="s">
        <v>1584</v>
      </c>
      <c r="AC1197" s="35" t="s">
        <v>166</v>
      </c>
      <c r="AD1197" s="153" t="str">
        <f t="shared" si="254"/>
        <v>Rye</v>
      </c>
      <c r="AE1197" s="35" t="s">
        <v>709</v>
      </c>
      <c r="AM1197" s="35" t="s">
        <v>1031</v>
      </c>
      <c r="AN1197" s="35" t="s">
        <v>1031</v>
      </c>
      <c r="AO1197" s="35" t="s">
        <v>230</v>
      </c>
      <c r="AP1197" s="35" t="s">
        <v>208</v>
      </c>
      <c r="AQ1197" s="35">
        <v>4</v>
      </c>
      <c r="AR1197" s="35">
        <v>4</v>
      </c>
      <c r="AS1197" s="35" t="s">
        <v>177</v>
      </c>
      <c r="AX1197" s="35" t="s">
        <v>1019</v>
      </c>
      <c r="BB1197" s="35">
        <v>1636</v>
      </c>
      <c r="BC1197" s="35">
        <v>1839</v>
      </c>
      <c r="FA1197" s="35" t="s">
        <v>1039</v>
      </c>
      <c r="FC1197" s="35">
        <v>57</v>
      </c>
    </row>
    <row r="1198" spans="1:159" s="35" customFormat="1" x14ac:dyDescent="0.25">
      <c r="A1198" s="35">
        <v>57</v>
      </c>
      <c r="B1198" s="35" t="s">
        <v>1016</v>
      </c>
      <c r="C1198" s="35" t="s">
        <v>1017</v>
      </c>
      <c r="D1198" s="35">
        <v>1990</v>
      </c>
      <c r="E1198" s="35">
        <v>1974</v>
      </c>
      <c r="F1198" s="35" t="s">
        <v>1021</v>
      </c>
      <c r="G1198" s="35" t="s">
        <v>1018</v>
      </c>
      <c r="H1198" s="35">
        <v>34.200000000000003</v>
      </c>
      <c r="I1198" s="35">
        <v>-90.58</v>
      </c>
      <c r="J1198" s="35">
        <v>55.3</v>
      </c>
      <c r="P1198" s="54" t="s">
        <v>180</v>
      </c>
      <c r="Q1198" s="54" t="s">
        <v>1063</v>
      </c>
      <c r="R1198" s="54"/>
      <c r="S1198" s="54" t="s">
        <v>1647</v>
      </c>
      <c r="T1198" s="54" t="s">
        <v>1647</v>
      </c>
      <c r="U1198" s="35">
        <v>1.325</v>
      </c>
      <c r="X1198" s="35" t="s">
        <v>168</v>
      </c>
      <c r="AB1198" s="35" t="s">
        <v>1584</v>
      </c>
      <c r="AC1198" s="35" t="s">
        <v>301</v>
      </c>
      <c r="AD1198" s="153" t="str">
        <f t="shared" si="254"/>
        <v>Vetch</v>
      </c>
      <c r="AE1198" s="35" t="s">
        <v>709</v>
      </c>
      <c r="AM1198" s="35" t="s">
        <v>1031</v>
      </c>
      <c r="AN1198" s="35" t="s">
        <v>1031</v>
      </c>
      <c r="AO1198" s="35" t="s">
        <v>230</v>
      </c>
      <c r="AP1198" s="35" t="s">
        <v>208</v>
      </c>
      <c r="AQ1198" s="35">
        <v>4</v>
      </c>
      <c r="AR1198" s="35">
        <v>4</v>
      </c>
      <c r="AS1198" s="35" t="s">
        <v>177</v>
      </c>
      <c r="AX1198" s="35" t="s">
        <v>1019</v>
      </c>
      <c r="BB1198" s="35">
        <v>1636</v>
      </c>
      <c r="BC1198" s="35">
        <v>1897</v>
      </c>
      <c r="FA1198" s="35" t="s">
        <v>1039</v>
      </c>
      <c r="FC1198" s="35">
        <v>57</v>
      </c>
    </row>
    <row r="1199" spans="1:159" s="35" customFormat="1" x14ac:dyDescent="0.25">
      <c r="A1199" s="35">
        <v>57</v>
      </c>
      <c r="B1199" s="35" t="s">
        <v>1016</v>
      </c>
      <c r="C1199" s="35" t="s">
        <v>1017</v>
      </c>
      <c r="D1199" s="35">
        <v>1990</v>
      </c>
      <c r="E1199" s="35">
        <v>1974</v>
      </c>
      <c r="F1199" s="35" t="s">
        <v>1021</v>
      </c>
      <c r="G1199" s="35" t="s">
        <v>1018</v>
      </c>
      <c r="H1199" s="35">
        <v>34.200000000000003</v>
      </c>
      <c r="I1199" s="35">
        <v>-90.58</v>
      </c>
      <c r="J1199" s="35">
        <v>55.3</v>
      </c>
      <c r="P1199" s="54" t="s">
        <v>180</v>
      </c>
      <c r="Q1199" s="54" t="s">
        <v>1063</v>
      </c>
      <c r="R1199" s="54"/>
      <c r="S1199" s="54" t="s">
        <v>1647</v>
      </c>
      <c r="T1199" s="54" t="s">
        <v>1647</v>
      </c>
      <c r="U1199" s="35">
        <v>1.325</v>
      </c>
      <c r="X1199" s="35" t="s">
        <v>168</v>
      </c>
      <c r="AB1199" s="35" t="s">
        <v>1584</v>
      </c>
      <c r="AC1199" s="35" t="s">
        <v>1020</v>
      </c>
      <c r="AD1199" s="153" t="str">
        <f t="shared" si="254"/>
        <v>Legume</v>
      </c>
      <c r="AE1199" s="35" t="s">
        <v>709</v>
      </c>
      <c r="AM1199" s="35" t="s">
        <v>1031</v>
      </c>
      <c r="AN1199" s="35" t="s">
        <v>1031</v>
      </c>
      <c r="AO1199" s="35" t="s">
        <v>230</v>
      </c>
      <c r="AP1199" s="35" t="s">
        <v>208</v>
      </c>
      <c r="AQ1199" s="35">
        <v>4</v>
      </c>
      <c r="AR1199" s="35">
        <v>4</v>
      </c>
      <c r="AS1199" s="35" t="s">
        <v>177</v>
      </c>
      <c r="AX1199" s="35" t="s">
        <v>1019</v>
      </c>
      <c r="BB1199" s="35">
        <v>1636</v>
      </c>
      <c r="BC1199" s="35">
        <v>1515</v>
      </c>
      <c r="FA1199" s="35" t="s">
        <v>1039</v>
      </c>
      <c r="FC1199" s="35">
        <v>57</v>
      </c>
    </row>
    <row r="1200" spans="1:159" s="47" customFormat="1" x14ac:dyDescent="0.25">
      <c r="A1200" s="47">
        <v>57</v>
      </c>
      <c r="B1200" s="47" t="s">
        <v>1016</v>
      </c>
      <c r="C1200" s="47" t="s">
        <v>1017</v>
      </c>
      <c r="D1200" s="47">
        <v>1990</v>
      </c>
      <c r="E1200" s="47">
        <v>1975</v>
      </c>
      <c r="F1200" s="47" t="s">
        <v>1021</v>
      </c>
      <c r="G1200" s="47" t="s">
        <v>1018</v>
      </c>
      <c r="H1200" s="47">
        <v>34.200000000000003</v>
      </c>
      <c r="I1200" s="47">
        <v>-90.58</v>
      </c>
      <c r="J1200" s="47">
        <v>55.3</v>
      </c>
      <c r="P1200" s="82" t="s">
        <v>181</v>
      </c>
      <c r="Q1200" s="47" t="s">
        <v>1065</v>
      </c>
      <c r="R1200" s="82"/>
      <c r="S1200" s="82" t="s">
        <v>1647</v>
      </c>
      <c r="T1200" s="82" t="s">
        <v>1647</v>
      </c>
      <c r="U1200" s="47">
        <v>1.325</v>
      </c>
      <c r="X1200" s="47" t="s">
        <v>168</v>
      </c>
      <c r="AB1200" s="47" t="s">
        <v>1584</v>
      </c>
      <c r="AC1200" s="47" t="s">
        <v>166</v>
      </c>
      <c r="AD1200" s="153" t="str">
        <f t="shared" si="254"/>
        <v>Rye</v>
      </c>
      <c r="AE1200" s="47" t="s">
        <v>709</v>
      </c>
      <c r="AM1200" s="47" t="s">
        <v>1032</v>
      </c>
      <c r="AN1200" s="47" t="s">
        <v>1032</v>
      </c>
      <c r="AO1200" s="47" t="s">
        <v>230</v>
      </c>
      <c r="AP1200" s="47" t="s">
        <v>208</v>
      </c>
      <c r="AQ1200" s="47">
        <v>4</v>
      </c>
      <c r="AR1200" s="47">
        <v>4</v>
      </c>
      <c r="AS1200" s="47" t="s">
        <v>177</v>
      </c>
      <c r="AX1200" s="47" t="s">
        <v>1019</v>
      </c>
      <c r="BB1200" s="47">
        <v>2328</v>
      </c>
      <c r="BC1200" s="47">
        <v>2415</v>
      </c>
      <c r="FA1200" s="47" t="s">
        <v>1039</v>
      </c>
      <c r="FC1200" s="47">
        <v>57</v>
      </c>
    </row>
    <row r="1201" spans="1:159" s="47" customFormat="1" x14ac:dyDescent="0.25">
      <c r="A1201" s="47">
        <v>57</v>
      </c>
      <c r="B1201" s="47" t="s">
        <v>1016</v>
      </c>
      <c r="C1201" s="47" t="s">
        <v>1017</v>
      </c>
      <c r="D1201" s="47">
        <v>1990</v>
      </c>
      <c r="E1201" s="47">
        <v>1975</v>
      </c>
      <c r="F1201" s="47" t="s">
        <v>1021</v>
      </c>
      <c r="G1201" s="47" t="s">
        <v>1018</v>
      </c>
      <c r="H1201" s="47">
        <v>34.200000000000003</v>
      </c>
      <c r="I1201" s="47">
        <v>-90.58</v>
      </c>
      <c r="J1201" s="47">
        <v>55.3</v>
      </c>
      <c r="P1201" s="82" t="s">
        <v>181</v>
      </c>
      <c r="Q1201" s="47" t="s">
        <v>1065</v>
      </c>
      <c r="R1201" s="82"/>
      <c r="S1201" s="82" t="s">
        <v>1647</v>
      </c>
      <c r="T1201" s="82" t="s">
        <v>1647</v>
      </c>
      <c r="U1201" s="47">
        <v>1.325</v>
      </c>
      <c r="X1201" s="47" t="s">
        <v>168</v>
      </c>
      <c r="AB1201" s="47" t="s">
        <v>1584</v>
      </c>
      <c r="AC1201" s="47" t="s">
        <v>301</v>
      </c>
      <c r="AD1201" s="153" t="str">
        <f t="shared" si="254"/>
        <v>Vetch</v>
      </c>
      <c r="AE1201" s="47" t="s">
        <v>709</v>
      </c>
      <c r="AM1201" s="47" t="s">
        <v>1032</v>
      </c>
      <c r="AN1201" s="47" t="s">
        <v>1032</v>
      </c>
      <c r="AO1201" s="47" t="s">
        <v>230</v>
      </c>
      <c r="AP1201" s="47" t="s">
        <v>208</v>
      </c>
      <c r="AQ1201" s="47">
        <v>4</v>
      </c>
      <c r="AR1201" s="47">
        <v>4</v>
      </c>
      <c r="AS1201" s="47" t="s">
        <v>177</v>
      </c>
      <c r="AX1201" s="47" t="s">
        <v>1019</v>
      </c>
      <c r="BB1201" s="47">
        <v>2328</v>
      </c>
      <c r="BC1201" s="47">
        <v>2646</v>
      </c>
      <c r="FA1201" s="47" t="s">
        <v>1039</v>
      </c>
      <c r="FC1201" s="47">
        <v>57</v>
      </c>
    </row>
    <row r="1202" spans="1:159" s="47" customFormat="1" x14ac:dyDescent="0.25">
      <c r="A1202" s="47">
        <v>57</v>
      </c>
      <c r="B1202" s="47" t="s">
        <v>1016</v>
      </c>
      <c r="C1202" s="47" t="s">
        <v>1017</v>
      </c>
      <c r="D1202" s="47">
        <v>1990</v>
      </c>
      <c r="E1202" s="47">
        <v>1975</v>
      </c>
      <c r="F1202" s="47" t="s">
        <v>1021</v>
      </c>
      <c r="G1202" s="47" t="s">
        <v>1018</v>
      </c>
      <c r="H1202" s="47">
        <v>34.200000000000003</v>
      </c>
      <c r="I1202" s="47">
        <v>-90.58</v>
      </c>
      <c r="J1202" s="47">
        <v>55.3</v>
      </c>
      <c r="P1202" s="82" t="s">
        <v>181</v>
      </c>
      <c r="Q1202" s="47" t="s">
        <v>1065</v>
      </c>
      <c r="R1202" s="82"/>
      <c r="S1202" s="82" t="s">
        <v>1647</v>
      </c>
      <c r="T1202" s="82" t="s">
        <v>1647</v>
      </c>
      <c r="U1202" s="47">
        <v>1.325</v>
      </c>
      <c r="X1202" s="47" t="s">
        <v>168</v>
      </c>
      <c r="AB1202" s="47" t="s">
        <v>1584</v>
      </c>
      <c r="AC1202" s="47" t="s">
        <v>1020</v>
      </c>
      <c r="AD1202" s="153" t="str">
        <f t="shared" si="254"/>
        <v>Legume</v>
      </c>
      <c r="AE1202" s="47" t="s">
        <v>709</v>
      </c>
      <c r="AM1202" s="47" t="s">
        <v>1032</v>
      </c>
      <c r="AN1202" s="47" t="s">
        <v>1032</v>
      </c>
      <c r="AO1202" s="47" t="s">
        <v>230</v>
      </c>
      <c r="AP1202" s="47" t="s">
        <v>208</v>
      </c>
      <c r="AQ1202" s="47">
        <v>4</v>
      </c>
      <c r="AR1202" s="47">
        <v>4</v>
      </c>
      <c r="AS1202" s="47" t="s">
        <v>177</v>
      </c>
      <c r="AX1202" s="47" t="s">
        <v>1019</v>
      </c>
      <c r="BB1202" s="47">
        <v>2328</v>
      </c>
      <c r="BC1202" s="47">
        <v>2599</v>
      </c>
      <c r="FA1202" s="47" t="s">
        <v>1039</v>
      </c>
      <c r="FC1202" s="47">
        <v>57</v>
      </c>
    </row>
    <row r="1203" spans="1:159" s="91" customFormat="1" x14ac:dyDescent="0.25">
      <c r="A1203" s="91">
        <v>57</v>
      </c>
      <c r="B1203" s="91" t="s">
        <v>1016</v>
      </c>
      <c r="C1203" s="91" t="s">
        <v>1017</v>
      </c>
      <c r="D1203" s="91">
        <v>1990</v>
      </c>
      <c r="E1203" s="91">
        <v>1977</v>
      </c>
      <c r="F1203" s="91" t="s">
        <v>1021</v>
      </c>
      <c r="G1203" s="91" t="s">
        <v>1018</v>
      </c>
      <c r="H1203" s="91">
        <v>34.200000000000003</v>
      </c>
      <c r="I1203" s="91">
        <v>-90.58</v>
      </c>
      <c r="J1203" s="91">
        <v>55.3</v>
      </c>
      <c r="P1203" s="92" t="s">
        <v>183</v>
      </c>
      <c r="Q1203" s="92" t="s">
        <v>1066</v>
      </c>
      <c r="R1203" s="92"/>
      <c r="S1203" s="92" t="s">
        <v>1647</v>
      </c>
      <c r="T1203" s="92" t="s">
        <v>1647</v>
      </c>
      <c r="U1203" s="91">
        <v>1.325</v>
      </c>
      <c r="X1203" s="91" t="s">
        <v>168</v>
      </c>
      <c r="AB1203" s="47" t="s">
        <v>1584</v>
      </c>
      <c r="AC1203" s="91" t="s">
        <v>166</v>
      </c>
      <c r="AD1203" s="153" t="str">
        <f t="shared" si="254"/>
        <v>Rye</v>
      </c>
      <c r="AE1203" s="91" t="s">
        <v>709</v>
      </c>
      <c r="AM1203" s="91" t="s">
        <v>1032</v>
      </c>
      <c r="AN1203" s="91" t="s">
        <v>1032</v>
      </c>
      <c r="AO1203" s="91" t="s">
        <v>230</v>
      </c>
      <c r="AP1203" s="91" t="s">
        <v>208</v>
      </c>
      <c r="AQ1203" s="91">
        <v>4</v>
      </c>
      <c r="AR1203" s="91">
        <v>4</v>
      </c>
      <c r="AS1203" s="91" t="s">
        <v>177</v>
      </c>
      <c r="AU1203" s="91">
        <v>3863</v>
      </c>
      <c r="AX1203" s="91" t="s">
        <v>1019</v>
      </c>
      <c r="BB1203" s="91">
        <v>2175</v>
      </c>
      <c r="BC1203" s="91">
        <v>2040</v>
      </c>
      <c r="FA1203" s="91" t="s">
        <v>1039</v>
      </c>
      <c r="FC1203" s="91">
        <v>57</v>
      </c>
    </row>
    <row r="1204" spans="1:159" s="91" customFormat="1" x14ac:dyDescent="0.25">
      <c r="A1204" s="91">
        <v>57</v>
      </c>
      <c r="B1204" s="91" t="s">
        <v>1016</v>
      </c>
      <c r="C1204" s="91" t="s">
        <v>1017</v>
      </c>
      <c r="D1204" s="91">
        <v>1990</v>
      </c>
      <c r="E1204" s="91">
        <v>1977</v>
      </c>
      <c r="F1204" s="91" t="s">
        <v>1021</v>
      </c>
      <c r="G1204" s="91" t="s">
        <v>1018</v>
      </c>
      <c r="H1204" s="91">
        <v>34.200000000000003</v>
      </c>
      <c r="I1204" s="91">
        <v>-90.58</v>
      </c>
      <c r="J1204" s="91">
        <v>55.3</v>
      </c>
      <c r="P1204" s="92" t="s">
        <v>183</v>
      </c>
      <c r="Q1204" s="92" t="s">
        <v>1066</v>
      </c>
      <c r="R1204" s="92"/>
      <c r="S1204" s="92" t="s">
        <v>1647</v>
      </c>
      <c r="T1204" s="92" t="s">
        <v>1647</v>
      </c>
      <c r="U1204" s="91">
        <v>1.325</v>
      </c>
      <c r="X1204" s="91" t="s">
        <v>168</v>
      </c>
      <c r="AB1204" s="47" t="s">
        <v>1584</v>
      </c>
      <c r="AC1204" s="91" t="s">
        <v>301</v>
      </c>
      <c r="AD1204" s="153" t="str">
        <f t="shared" si="254"/>
        <v>Vetch</v>
      </c>
      <c r="AE1204" s="91" t="s">
        <v>709</v>
      </c>
      <c r="AM1204" s="91" t="s">
        <v>1032</v>
      </c>
      <c r="AN1204" s="91" t="s">
        <v>1032</v>
      </c>
      <c r="AO1204" s="91" t="s">
        <v>230</v>
      </c>
      <c r="AP1204" s="91" t="s">
        <v>208</v>
      </c>
      <c r="AQ1204" s="91">
        <v>4</v>
      </c>
      <c r="AR1204" s="91">
        <v>4</v>
      </c>
      <c r="AS1204" s="91" t="s">
        <v>177</v>
      </c>
      <c r="AU1204" s="91">
        <v>2507</v>
      </c>
      <c r="AX1204" s="91" t="s">
        <v>1019</v>
      </c>
      <c r="BB1204" s="91">
        <v>2175</v>
      </c>
      <c r="BC1204" s="91">
        <v>2185</v>
      </c>
      <c r="FA1204" s="91" t="s">
        <v>1039</v>
      </c>
      <c r="FC1204" s="91">
        <v>57</v>
      </c>
    </row>
    <row r="1205" spans="1:159" s="91" customFormat="1" x14ac:dyDescent="0.25">
      <c r="A1205" s="91">
        <v>57</v>
      </c>
      <c r="B1205" s="91" t="s">
        <v>1016</v>
      </c>
      <c r="C1205" s="91" t="s">
        <v>1017</v>
      </c>
      <c r="D1205" s="91">
        <v>1990</v>
      </c>
      <c r="E1205" s="91">
        <v>1977</v>
      </c>
      <c r="F1205" s="91" t="s">
        <v>1021</v>
      </c>
      <c r="G1205" s="91" t="s">
        <v>1018</v>
      </c>
      <c r="H1205" s="91">
        <v>34.200000000000003</v>
      </c>
      <c r="I1205" s="91">
        <v>-90.58</v>
      </c>
      <c r="J1205" s="91">
        <v>55.3</v>
      </c>
      <c r="P1205" s="92" t="s">
        <v>183</v>
      </c>
      <c r="Q1205" s="92" t="s">
        <v>1066</v>
      </c>
      <c r="R1205" s="92"/>
      <c r="S1205" s="92" t="s">
        <v>1647</v>
      </c>
      <c r="T1205" s="92" t="s">
        <v>1647</v>
      </c>
      <c r="U1205" s="91">
        <v>1.325</v>
      </c>
      <c r="X1205" s="91" t="s">
        <v>168</v>
      </c>
      <c r="AB1205" s="47" t="s">
        <v>1584</v>
      </c>
      <c r="AC1205" s="91" t="s">
        <v>1802</v>
      </c>
      <c r="AD1205" s="153" t="str">
        <f t="shared" si="254"/>
        <v>Rye/Vetch</v>
      </c>
      <c r="AE1205" s="91" t="s">
        <v>709</v>
      </c>
      <c r="AM1205" s="91" t="s">
        <v>1032</v>
      </c>
      <c r="AN1205" s="91" t="s">
        <v>1032</v>
      </c>
      <c r="AO1205" s="91" t="s">
        <v>230</v>
      </c>
      <c r="AP1205" s="91" t="s">
        <v>208</v>
      </c>
      <c r="AQ1205" s="91">
        <v>4</v>
      </c>
      <c r="AR1205" s="91">
        <v>4</v>
      </c>
      <c r="AS1205" s="91" t="s">
        <v>177</v>
      </c>
      <c r="AU1205" s="91">
        <v>3863</v>
      </c>
      <c r="AX1205" s="91" t="s">
        <v>1019</v>
      </c>
      <c r="BB1205" s="91">
        <v>2175</v>
      </c>
      <c r="BC1205" s="91">
        <v>2409</v>
      </c>
      <c r="FA1205" s="91" t="s">
        <v>1039</v>
      </c>
      <c r="FC1205" s="91">
        <v>57</v>
      </c>
    </row>
    <row r="1206" spans="1:159" s="35" customFormat="1" x14ac:dyDescent="0.25">
      <c r="A1206" s="35">
        <v>57</v>
      </c>
      <c r="B1206" s="35" t="s">
        <v>1016</v>
      </c>
      <c r="C1206" s="35" t="s">
        <v>1017</v>
      </c>
      <c r="D1206" s="35">
        <v>1990</v>
      </c>
      <c r="E1206" s="35">
        <v>1978</v>
      </c>
      <c r="F1206" s="35" t="s">
        <v>1021</v>
      </c>
      <c r="G1206" s="35" t="s">
        <v>1018</v>
      </c>
      <c r="H1206" s="35">
        <v>34.200000000000003</v>
      </c>
      <c r="I1206" s="35">
        <v>-90.58</v>
      </c>
      <c r="J1206" s="35">
        <v>55.3</v>
      </c>
      <c r="P1206" s="54" t="s">
        <v>200</v>
      </c>
      <c r="Q1206" s="54" t="s">
        <v>1067</v>
      </c>
      <c r="R1206" s="54"/>
      <c r="S1206" s="54" t="s">
        <v>1647</v>
      </c>
      <c r="T1206" s="54" t="s">
        <v>1647</v>
      </c>
      <c r="U1206" s="35">
        <v>1.325</v>
      </c>
      <c r="X1206" s="35" t="s">
        <v>168</v>
      </c>
      <c r="AB1206" s="35" t="s">
        <v>1584</v>
      </c>
      <c r="AC1206" s="35" t="s">
        <v>166</v>
      </c>
      <c r="AD1206" s="153" t="str">
        <f t="shared" si="254"/>
        <v>Rye</v>
      </c>
      <c r="AE1206" s="35" t="s">
        <v>709</v>
      </c>
      <c r="AM1206" s="35" t="s">
        <v>1033</v>
      </c>
      <c r="AN1206" s="35" t="s">
        <v>1033</v>
      </c>
      <c r="AO1206" s="35" t="s">
        <v>230</v>
      </c>
      <c r="AP1206" s="35" t="s">
        <v>208</v>
      </c>
      <c r="AQ1206" s="35">
        <v>4</v>
      </c>
      <c r="AR1206" s="35">
        <v>4</v>
      </c>
      <c r="AS1206" s="35" t="s">
        <v>177</v>
      </c>
      <c r="AU1206" s="35">
        <v>4242</v>
      </c>
      <c r="AX1206" s="35" t="s">
        <v>1019</v>
      </c>
      <c r="BB1206" s="35">
        <v>1719</v>
      </c>
      <c r="BC1206" s="35">
        <v>1771</v>
      </c>
      <c r="FA1206" s="35" t="s">
        <v>1039</v>
      </c>
      <c r="FC1206" s="35">
        <v>57</v>
      </c>
    </row>
    <row r="1207" spans="1:159" s="35" customFormat="1" x14ac:dyDescent="0.25">
      <c r="A1207" s="35">
        <v>57</v>
      </c>
      <c r="B1207" s="35" t="s">
        <v>1016</v>
      </c>
      <c r="C1207" s="35" t="s">
        <v>1017</v>
      </c>
      <c r="D1207" s="35">
        <v>1990</v>
      </c>
      <c r="E1207" s="35">
        <v>1978</v>
      </c>
      <c r="F1207" s="35" t="s">
        <v>1021</v>
      </c>
      <c r="G1207" s="35" t="s">
        <v>1018</v>
      </c>
      <c r="H1207" s="35">
        <v>34.200000000000003</v>
      </c>
      <c r="I1207" s="35">
        <v>-90.58</v>
      </c>
      <c r="J1207" s="35">
        <v>55.3</v>
      </c>
      <c r="P1207" s="54" t="s">
        <v>200</v>
      </c>
      <c r="Q1207" s="54" t="s">
        <v>1067</v>
      </c>
      <c r="R1207" s="54"/>
      <c r="S1207" s="54" t="s">
        <v>1647</v>
      </c>
      <c r="T1207" s="54" t="s">
        <v>1647</v>
      </c>
      <c r="U1207" s="35">
        <v>1.325</v>
      </c>
      <c r="X1207" s="35" t="s">
        <v>168</v>
      </c>
      <c r="AB1207" s="35" t="s">
        <v>1584</v>
      </c>
      <c r="AC1207" s="35" t="s">
        <v>301</v>
      </c>
      <c r="AD1207" s="153" t="str">
        <f t="shared" si="254"/>
        <v>Vetch</v>
      </c>
      <c r="AE1207" s="35" t="s">
        <v>709</v>
      </c>
      <c r="AM1207" s="35" t="s">
        <v>1033</v>
      </c>
      <c r="AN1207" s="35" t="s">
        <v>1033</v>
      </c>
      <c r="AO1207" s="35" t="s">
        <v>230</v>
      </c>
      <c r="AP1207" s="35" t="s">
        <v>208</v>
      </c>
      <c r="AQ1207" s="35">
        <v>4</v>
      </c>
      <c r="AR1207" s="35">
        <v>4</v>
      </c>
      <c r="AS1207" s="35" t="s">
        <v>177</v>
      </c>
      <c r="AU1207" s="35">
        <v>1992</v>
      </c>
      <c r="AX1207" s="35" t="s">
        <v>1019</v>
      </c>
      <c r="BB1207" s="35">
        <v>1719</v>
      </c>
      <c r="BC1207" s="35">
        <v>2120</v>
      </c>
      <c r="FA1207" s="35" t="s">
        <v>1039</v>
      </c>
      <c r="FC1207" s="35">
        <v>57</v>
      </c>
    </row>
    <row r="1208" spans="1:159" s="35" customFormat="1" x14ac:dyDescent="0.25">
      <c r="A1208" s="35">
        <v>57</v>
      </c>
      <c r="B1208" s="35" t="s">
        <v>1016</v>
      </c>
      <c r="C1208" s="35" t="s">
        <v>1017</v>
      </c>
      <c r="D1208" s="35">
        <v>1990</v>
      </c>
      <c r="E1208" s="35">
        <v>1978</v>
      </c>
      <c r="F1208" s="35" t="s">
        <v>1021</v>
      </c>
      <c r="G1208" s="35" t="s">
        <v>1018</v>
      </c>
      <c r="H1208" s="35">
        <v>34.200000000000003</v>
      </c>
      <c r="I1208" s="35">
        <v>-90.58</v>
      </c>
      <c r="J1208" s="35">
        <v>55.3</v>
      </c>
      <c r="P1208" s="54" t="s">
        <v>200</v>
      </c>
      <c r="Q1208" s="54" t="s">
        <v>1067</v>
      </c>
      <c r="R1208" s="54"/>
      <c r="S1208" s="54" t="s">
        <v>1647</v>
      </c>
      <c r="T1208" s="54" t="s">
        <v>1647</v>
      </c>
      <c r="U1208" s="35">
        <v>1.325</v>
      </c>
      <c r="X1208" s="35" t="s">
        <v>168</v>
      </c>
      <c r="AB1208" s="35" t="s">
        <v>1584</v>
      </c>
      <c r="AC1208" s="35" t="s">
        <v>1802</v>
      </c>
      <c r="AD1208" s="153" t="str">
        <f t="shared" si="254"/>
        <v>Rye/Vetch</v>
      </c>
      <c r="AE1208" s="35" t="s">
        <v>709</v>
      </c>
      <c r="AM1208" s="35" t="s">
        <v>1033</v>
      </c>
      <c r="AN1208" s="35" t="s">
        <v>1033</v>
      </c>
      <c r="AO1208" s="35" t="s">
        <v>230</v>
      </c>
      <c r="AP1208" s="35" t="s">
        <v>208</v>
      </c>
      <c r="AQ1208" s="35">
        <v>4</v>
      </c>
      <c r="AR1208" s="35">
        <v>4</v>
      </c>
      <c r="AS1208" s="35" t="s">
        <v>177</v>
      </c>
      <c r="AU1208" s="35">
        <v>4201</v>
      </c>
      <c r="AX1208" s="35" t="s">
        <v>1019</v>
      </c>
      <c r="BB1208" s="35">
        <v>1719</v>
      </c>
      <c r="BC1208" s="35">
        <v>2147</v>
      </c>
      <c r="FA1208" s="35" t="s">
        <v>1039</v>
      </c>
      <c r="FC1208" s="35">
        <v>57</v>
      </c>
    </row>
    <row r="1209" spans="1:159" s="47" customFormat="1" x14ac:dyDescent="0.25">
      <c r="A1209" s="47">
        <v>57</v>
      </c>
      <c r="B1209" s="47" t="s">
        <v>1016</v>
      </c>
      <c r="C1209" s="47" t="s">
        <v>1017</v>
      </c>
      <c r="D1209" s="47">
        <v>1990</v>
      </c>
      <c r="E1209" s="47">
        <v>1979</v>
      </c>
      <c r="F1209" s="47" t="s">
        <v>1021</v>
      </c>
      <c r="G1209" s="47" t="s">
        <v>1018</v>
      </c>
      <c r="H1209" s="47">
        <v>34.200000000000003</v>
      </c>
      <c r="I1209" s="47">
        <v>-90.58</v>
      </c>
      <c r="J1209" s="47">
        <v>55.3</v>
      </c>
      <c r="P1209" s="82" t="s">
        <v>1022</v>
      </c>
      <c r="Q1209" s="82" t="s">
        <v>1068</v>
      </c>
      <c r="R1209" s="82"/>
      <c r="S1209" s="82" t="s">
        <v>1647</v>
      </c>
      <c r="T1209" s="82" t="s">
        <v>1647</v>
      </c>
      <c r="U1209" s="47">
        <v>1.325</v>
      </c>
      <c r="X1209" s="47" t="s">
        <v>168</v>
      </c>
      <c r="AB1209" s="47" t="s">
        <v>1584</v>
      </c>
      <c r="AC1209" s="47" t="s">
        <v>301</v>
      </c>
      <c r="AD1209" s="153" t="str">
        <f t="shared" si="254"/>
        <v>Vetch</v>
      </c>
      <c r="AE1209" s="47" t="s">
        <v>709</v>
      </c>
      <c r="AM1209" s="47" t="s">
        <v>1033</v>
      </c>
      <c r="AN1209" s="47" t="s">
        <v>1033</v>
      </c>
      <c r="AO1209" s="47" t="s">
        <v>230</v>
      </c>
      <c r="AP1209" s="47" t="s">
        <v>208</v>
      </c>
      <c r="AQ1209" s="47">
        <v>4</v>
      </c>
      <c r="AR1209" s="47">
        <v>4</v>
      </c>
      <c r="AS1209" s="47" t="s">
        <v>177</v>
      </c>
      <c r="AX1209" s="47" t="s">
        <v>1019</v>
      </c>
      <c r="BB1209" s="47">
        <v>2135</v>
      </c>
      <c r="BC1209" s="47">
        <v>2158</v>
      </c>
      <c r="FA1209" s="47" t="s">
        <v>1039</v>
      </c>
      <c r="FC1209" s="47">
        <v>57</v>
      </c>
    </row>
    <row r="1210" spans="1:159" s="95" customFormat="1" x14ac:dyDescent="0.25">
      <c r="A1210" s="95">
        <v>57</v>
      </c>
      <c r="B1210" s="95" t="s">
        <v>1016</v>
      </c>
      <c r="C1210" s="95" t="s">
        <v>1017</v>
      </c>
      <c r="D1210" s="95">
        <v>1990</v>
      </c>
      <c r="E1210" s="95">
        <v>1979</v>
      </c>
      <c r="F1210" s="95" t="s">
        <v>1021</v>
      </c>
      <c r="G1210" s="95" t="s">
        <v>1018</v>
      </c>
      <c r="H1210" s="95">
        <v>34.200000000000003</v>
      </c>
      <c r="I1210" s="95">
        <v>-90.58</v>
      </c>
      <c r="J1210" s="95">
        <v>55.3</v>
      </c>
      <c r="P1210" s="96" t="s">
        <v>1022</v>
      </c>
      <c r="Q1210" s="96" t="s">
        <v>1068</v>
      </c>
      <c r="R1210" s="96"/>
      <c r="S1210" s="96" t="s">
        <v>1659</v>
      </c>
      <c r="T1210" s="96" t="s">
        <v>1647</v>
      </c>
      <c r="U1210" s="95">
        <v>1.325</v>
      </c>
      <c r="X1210" s="95" t="s">
        <v>168</v>
      </c>
      <c r="AB1210" s="95" t="s">
        <v>1584</v>
      </c>
      <c r="AC1210" s="95" t="s">
        <v>1802</v>
      </c>
      <c r="AD1210" s="153" t="str">
        <f t="shared" si="254"/>
        <v>Rye/Vetch</v>
      </c>
      <c r="AE1210" s="95" t="s">
        <v>709</v>
      </c>
      <c r="AM1210" s="95" t="s">
        <v>1033</v>
      </c>
      <c r="AN1210" s="95" t="s">
        <v>1033</v>
      </c>
      <c r="AO1210" s="95" t="s">
        <v>230</v>
      </c>
      <c r="AP1210" s="95" t="s">
        <v>208</v>
      </c>
      <c r="AQ1210" s="95">
        <v>4</v>
      </c>
      <c r="AR1210" s="95">
        <v>4</v>
      </c>
      <c r="AS1210" s="95" t="s">
        <v>177</v>
      </c>
      <c r="AX1210" s="95" t="s">
        <v>1019</v>
      </c>
      <c r="BB1210" s="95">
        <v>2135</v>
      </c>
      <c r="BC1210" s="95">
        <v>2430</v>
      </c>
      <c r="BE1210" s="95">
        <v>1.28</v>
      </c>
      <c r="BF1210" s="95">
        <v>1.26</v>
      </c>
      <c r="BH1210" s="95">
        <v>1.4</v>
      </c>
      <c r="BI1210" s="95">
        <v>1.9</v>
      </c>
      <c r="BJ1210" s="95" t="s">
        <v>1040</v>
      </c>
      <c r="CR1210" s="95">
        <v>2.08</v>
      </c>
      <c r="CS1210" s="95">
        <v>3.46</v>
      </c>
      <c r="DJ1210" s="95">
        <f>0.295-0.07</f>
        <v>0.22499999999999998</v>
      </c>
      <c r="DK1210" s="95">
        <f>0.332-0.061</f>
        <v>0.27100000000000002</v>
      </c>
      <c r="DL1210" s="95" t="s">
        <v>1042</v>
      </c>
      <c r="FA1210" s="95" t="s">
        <v>1039</v>
      </c>
      <c r="FC1210" s="95">
        <v>57</v>
      </c>
    </row>
    <row r="1211" spans="1:159" s="47" customFormat="1" x14ac:dyDescent="0.25">
      <c r="A1211" s="47">
        <v>57</v>
      </c>
      <c r="B1211" s="47" t="s">
        <v>1016</v>
      </c>
      <c r="C1211" s="47" t="s">
        <v>1017</v>
      </c>
      <c r="D1211" s="47">
        <v>1990</v>
      </c>
      <c r="E1211" s="47">
        <v>1979</v>
      </c>
      <c r="F1211" s="47" t="s">
        <v>1021</v>
      </c>
      <c r="G1211" s="47" t="s">
        <v>1018</v>
      </c>
      <c r="H1211" s="47">
        <v>34.200000000000003</v>
      </c>
      <c r="I1211" s="47">
        <v>-90.58</v>
      </c>
      <c r="J1211" s="47">
        <v>55.3</v>
      </c>
      <c r="P1211" s="82" t="s">
        <v>1022</v>
      </c>
      <c r="Q1211" s="82" t="s">
        <v>1068</v>
      </c>
      <c r="R1211" s="82"/>
      <c r="S1211" s="82" t="s">
        <v>1647</v>
      </c>
      <c r="T1211" s="82" t="s">
        <v>1647</v>
      </c>
      <c r="U1211" s="47">
        <v>1.325</v>
      </c>
      <c r="X1211" s="47" t="s">
        <v>168</v>
      </c>
      <c r="AB1211" s="47" t="s">
        <v>1584</v>
      </c>
      <c r="AC1211" s="47" t="s">
        <v>1803</v>
      </c>
      <c r="AD1211" s="153" t="str">
        <f t="shared" si="254"/>
        <v>Rye/Clover</v>
      </c>
      <c r="AE1211" s="47" t="s">
        <v>709</v>
      </c>
      <c r="AM1211" s="47" t="s">
        <v>1033</v>
      </c>
      <c r="AN1211" s="47" t="s">
        <v>1033</v>
      </c>
      <c r="AO1211" s="47" t="s">
        <v>230</v>
      </c>
      <c r="AP1211" s="47" t="s">
        <v>208</v>
      </c>
      <c r="AQ1211" s="47">
        <v>4</v>
      </c>
      <c r="AR1211" s="47">
        <v>4</v>
      </c>
      <c r="AS1211" s="47" t="s">
        <v>177</v>
      </c>
      <c r="AX1211" s="47" t="s">
        <v>1019</v>
      </c>
      <c r="BB1211" s="47">
        <v>2135</v>
      </c>
      <c r="BC1211" s="47">
        <v>2043</v>
      </c>
      <c r="FA1211" s="47" t="s">
        <v>1039</v>
      </c>
      <c r="FC1211" s="47">
        <v>57</v>
      </c>
    </row>
    <row r="1212" spans="1:159" s="35" customFormat="1" x14ac:dyDescent="0.25">
      <c r="A1212" s="35">
        <v>57</v>
      </c>
      <c r="B1212" s="35" t="s">
        <v>1016</v>
      </c>
      <c r="C1212" s="35" t="s">
        <v>1017</v>
      </c>
      <c r="D1212" s="35">
        <v>1990</v>
      </c>
      <c r="E1212" s="35">
        <v>1980</v>
      </c>
      <c r="F1212" s="35" t="s">
        <v>1021</v>
      </c>
      <c r="G1212" s="35" t="s">
        <v>1018</v>
      </c>
      <c r="H1212" s="35">
        <v>34.200000000000003</v>
      </c>
      <c r="I1212" s="35">
        <v>-90.58</v>
      </c>
      <c r="J1212" s="35">
        <v>55.3</v>
      </c>
      <c r="P1212" s="54" t="s">
        <v>1023</v>
      </c>
      <c r="Q1212" s="54" t="s">
        <v>1069</v>
      </c>
      <c r="R1212" s="54"/>
      <c r="S1212" s="54" t="s">
        <v>1647</v>
      </c>
      <c r="T1212" s="54" t="s">
        <v>1647</v>
      </c>
      <c r="U1212" s="35">
        <v>1.325</v>
      </c>
      <c r="X1212" s="35" t="s">
        <v>168</v>
      </c>
      <c r="AB1212" s="35" t="s">
        <v>1584</v>
      </c>
      <c r="AC1212" s="35" t="s">
        <v>301</v>
      </c>
      <c r="AD1212" s="153" t="str">
        <f t="shared" si="254"/>
        <v>Vetch</v>
      </c>
      <c r="AE1212" s="35" t="s">
        <v>709</v>
      </c>
      <c r="AM1212" s="35" t="s">
        <v>1034</v>
      </c>
      <c r="AN1212" s="35" t="s">
        <v>1034</v>
      </c>
      <c r="AO1212" s="35" t="s">
        <v>230</v>
      </c>
      <c r="AP1212" s="35" t="s">
        <v>208</v>
      </c>
      <c r="AQ1212" s="35">
        <v>4</v>
      </c>
      <c r="AR1212" s="35">
        <v>4</v>
      </c>
      <c r="AS1212" s="35" t="s">
        <v>177</v>
      </c>
      <c r="AX1212" s="35" t="s">
        <v>1019</v>
      </c>
      <c r="BB1212" s="35">
        <v>1796</v>
      </c>
      <c r="BC1212" s="35">
        <v>1921</v>
      </c>
      <c r="FA1212" s="35" t="s">
        <v>1039</v>
      </c>
      <c r="FC1212" s="35">
        <v>57</v>
      </c>
    </row>
    <row r="1213" spans="1:159" s="95" customFormat="1" x14ac:dyDescent="0.25">
      <c r="A1213" s="95">
        <v>57</v>
      </c>
      <c r="B1213" s="95" t="s">
        <v>1016</v>
      </c>
      <c r="C1213" s="95" t="s">
        <v>1017</v>
      </c>
      <c r="D1213" s="95">
        <v>1990</v>
      </c>
      <c r="E1213" s="95">
        <v>1980</v>
      </c>
      <c r="F1213" s="95" t="s">
        <v>1021</v>
      </c>
      <c r="G1213" s="95" t="s">
        <v>1018</v>
      </c>
      <c r="H1213" s="95">
        <v>34.200000000000003</v>
      </c>
      <c r="I1213" s="95">
        <v>-90.58</v>
      </c>
      <c r="J1213" s="95">
        <v>55.3</v>
      </c>
      <c r="P1213" s="96" t="s">
        <v>1023</v>
      </c>
      <c r="Q1213" s="96" t="s">
        <v>1069</v>
      </c>
      <c r="R1213" s="96"/>
      <c r="S1213" s="96" t="s">
        <v>1666</v>
      </c>
      <c r="T1213" s="96" t="s">
        <v>1647</v>
      </c>
      <c r="U1213" s="95">
        <v>1.325</v>
      </c>
      <c r="X1213" s="95" t="s">
        <v>168</v>
      </c>
      <c r="AB1213" s="95" t="s">
        <v>1584</v>
      </c>
      <c r="AC1213" s="95" t="s">
        <v>1802</v>
      </c>
      <c r="AD1213" s="153" t="str">
        <f t="shared" si="254"/>
        <v>Rye/Vetch</v>
      </c>
      <c r="AE1213" s="95" t="s">
        <v>709</v>
      </c>
      <c r="AM1213" s="95" t="s">
        <v>1034</v>
      </c>
      <c r="AN1213" s="95" t="s">
        <v>1034</v>
      </c>
      <c r="AO1213" s="95" t="s">
        <v>230</v>
      </c>
      <c r="AP1213" s="95" t="s">
        <v>208</v>
      </c>
      <c r="AQ1213" s="95">
        <v>4</v>
      </c>
      <c r="AR1213" s="95">
        <v>4</v>
      </c>
      <c r="AS1213" s="95" t="s">
        <v>177</v>
      </c>
      <c r="AX1213" s="95" t="s">
        <v>1019</v>
      </c>
      <c r="BB1213" s="95">
        <v>1796</v>
      </c>
      <c r="BC1213" s="95">
        <v>2110</v>
      </c>
      <c r="BE1213" s="95">
        <v>1.39</v>
      </c>
      <c r="BF1213" s="95">
        <v>1.29</v>
      </c>
      <c r="BH1213" s="95">
        <v>1.1000000000000001</v>
      </c>
      <c r="BI1213" s="95">
        <v>1.3</v>
      </c>
      <c r="BJ1213" s="95" t="s">
        <v>1040</v>
      </c>
      <c r="CR1213" s="95">
        <v>2.31</v>
      </c>
      <c r="CS1213" s="95">
        <v>4.49</v>
      </c>
      <c r="DJ1213" s="95">
        <f>0.351-0.081</f>
        <v>0.26999999999999996</v>
      </c>
      <c r="DK1213" s="95">
        <f>0.312-0.071</f>
        <v>0.24099999999999999</v>
      </c>
      <c r="DL1213" s="95" t="s">
        <v>1042</v>
      </c>
      <c r="FA1213" s="95" t="s">
        <v>1039</v>
      </c>
      <c r="FC1213" s="95">
        <v>57</v>
      </c>
    </row>
    <row r="1214" spans="1:159" s="35" customFormat="1" x14ac:dyDescent="0.25">
      <c r="A1214" s="35">
        <v>57</v>
      </c>
      <c r="B1214" s="35" t="s">
        <v>1016</v>
      </c>
      <c r="C1214" s="35" t="s">
        <v>1017</v>
      </c>
      <c r="D1214" s="35">
        <v>1990</v>
      </c>
      <c r="E1214" s="35">
        <v>1980</v>
      </c>
      <c r="F1214" s="35" t="s">
        <v>1021</v>
      </c>
      <c r="G1214" s="35" t="s">
        <v>1018</v>
      </c>
      <c r="H1214" s="35">
        <v>34.200000000000003</v>
      </c>
      <c r="I1214" s="35">
        <v>-90.58</v>
      </c>
      <c r="J1214" s="35">
        <v>55.3</v>
      </c>
      <c r="P1214" s="54" t="s">
        <v>1023</v>
      </c>
      <c r="Q1214" s="54" t="s">
        <v>1069</v>
      </c>
      <c r="R1214" s="54"/>
      <c r="S1214" s="54" t="s">
        <v>1647</v>
      </c>
      <c r="T1214" s="54" t="s">
        <v>1647</v>
      </c>
      <c r="U1214" s="35">
        <v>1.325</v>
      </c>
      <c r="X1214" s="35" t="s">
        <v>168</v>
      </c>
      <c r="AB1214" s="35" t="s">
        <v>1584</v>
      </c>
      <c r="AC1214" s="35" t="s">
        <v>1803</v>
      </c>
      <c r="AD1214" s="153" t="str">
        <f t="shared" si="254"/>
        <v>Rye/Clover</v>
      </c>
      <c r="AE1214" s="35" t="s">
        <v>709</v>
      </c>
      <c r="AM1214" s="35" t="s">
        <v>1034</v>
      </c>
      <c r="AN1214" s="35" t="s">
        <v>1034</v>
      </c>
      <c r="AO1214" s="35" t="s">
        <v>230</v>
      </c>
      <c r="AP1214" s="35" t="s">
        <v>208</v>
      </c>
      <c r="AQ1214" s="35">
        <v>4</v>
      </c>
      <c r="AR1214" s="35">
        <v>4</v>
      </c>
      <c r="AS1214" s="35" t="s">
        <v>177</v>
      </c>
      <c r="AX1214" s="35" t="s">
        <v>1019</v>
      </c>
      <c r="BB1214" s="35">
        <v>1796</v>
      </c>
      <c r="BC1214" s="35">
        <v>1932</v>
      </c>
      <c r="FA1214" s="35" t="s">
        <v>1039</v>
      </c>
      <c r="FC1214" s="35">
        <v>57</v>
      </c>
    </row>
    <row r="1215" spans="1:159" s="47" customFormat="1" x14ac:dyDescent="0.25">
      <c r="A1215" s="47">
        <v>57</v>
      </c>
      <c r="B1215" s="47" t="s">
        <v>1016</v>
      </c>
      <c r="C1215" s="47" t="s">
        <v>1017</v>
      </c>
      <c r="D1215" s="47">
        <v>1990</v>
      </c>
      <c r="E1215" s="47">
        <v>1981</v>
      </c>
      <c r="F1215" s="47" t="s">
        <v>1021</v>
      </c>
      <c r="G1215" s="47" t="s">
        <v>1018</v>
      </c>
      <c r="H1215" s="47">
        <v>34.200000000000003</v>
      </c>
      <c r="I1215" s="47">
        <v>-90.58</v>
      </c>
      <c r="J1215" s="47">
        <v>55.3</v>
      </c>
      <c r="P1215" s="82" t="s">
        <v>1024</v>
      </c>
      <c r="Q1215" s="82" t="s">
        <v>1070</v>
      </c>
      <c r="R1215" s="82"/>
      <c r="S1215" s="82" t="s">
        <v>1647</v>
      </c>
      <c r="T1215" s="82" t="s">
        <v>1647</v>
      </c>
      <c r="U1215" s="47">
        <v>1.325</v>
      </c>
      <c r="X1215" s="47" t="s">
        <v>168</v>
      </c>
      <c r="AB1215" s="47" t="s">
        <v>1584</v>
      </c>
      <c r="AC1215" s="47" t="s">
        <v>301</v>
      </c>
      <c r="AD1215" s="153" t="str">
        <f t="shared" si="254"/>
        <v>Vetch</v>
      </c>
      <c r="AE1215" s="47" t="s">
        <v>709</v>
      </c>
      <c r="AM1215" s="47" t="s">
        <v>1035</v>
      </c>
      <c r="AN1215" s="47" t="s">
        <v>1035</v>
      </c>
      <c r="AO1215" s="47" t="s">
        <v>230</v>
      </c>
      <c r="AP1215" s="47" t="s">
        <v>208</v>
      </c>
      <c r="AQ1215" s="47">
        <v>4</v>
      </c>
      <c r="AR1215" s="47">
        <v>4</v>
      </c>
      <c r="AS1215" s="47" t="s">
        <v>177</v>
      </c>
      <c r="AX1215" s="47" t="s">
        <v>1019</v>
      </c>
      <c r="BB1215" s="47">
        <v>1944</v>
      </c>
      <c r="BC1215" s="47">
        <v>2782</v>
      </c>
      <c r="FA1215" s="47" t="s">
        <v>1039</v>
      </c>
      <c r="FC1215" s="47">
        <v>57</v>
      </c>
    </row>
    <row r="1216" spans="1:159" s="95" customFormat="1" x14ac:dyDescent="0.25">
      <c r="A1216" s="95">
        <v>57</v>
      </c>
      <c r="B1216" s="95" t="s">
        <v>1016</v>
      </c>
      <c r="C1216" s="95" t="s">
        <v>1017</v>
      </c>
      <c r="D1216" s="95">
        <v>1990</v>
      </c>
      <c r="E1216" s="95">
        <v>1981</v>
      </c>
      <c r="F1216" s="95" t="s">
        <v>1021</v>
      </c>
      <c r="G1216" s="95" t="s">
        <v>1018</v>
      </c>
      <c r="H1216" s="95">
        <v>34.200000000000003</v>
      </c>
      <c r="I1216" s="95">
        <v>-90.58</v>
      </c>
      <c r="J1216" s="95">
        <v>55.3</v>
      </c>
      <c r="P1216" s="96" t="s">
        <v>1024</v>
      </c>
      <c r="Q1216" s="96" t="s">
        <v>1070</v>
      </c>
      <c r="R1216" s="96"/>
      <c r="S1216" s="96" t="s">
        <v>1674</v>
      </c>
      <c r="T1216" s="96" t="s">
        <v>1647</v>
      </c>
      <c r="U1216" s="95">
        <v>1.325</v>
      </c>
      <c r="X1216" s="95" t="s">
        <v>168</v>
      </c>
      <c r="AB1216" s="95" t="s">
        <v>1584</v>
      </c>
      <c r="AC1216" s="95" t="s">
        <v>1802</v>
      </c>
      <c r="AD1216" s="153" t="str">
        <f t="shared" si="254"/>
        <v>Rye/Vetch</v>
      </c>
      <c r="AE1216" s="95" t="s">
        <v>709</v>
      </c>
      <c r="AM1216" s="95" t="s">
        <v>1035</v>
      </c>
      <c r="AN1216" s="95" t="s">
        <v>1035</v>
      </c>
      <c r="AO1216" s="95" t="s">
        <v>230</v>
      </c>
      <c r="AP1216" s="95" t="s">
        <v>208</v>
      </c>
      <c r="AQ1216" s="95">
        <v>4</v>
      </c>
      <c r="AR1216" s="95">
        <v>4</v>
      </c>
      <c r="AS1216" s="95" t="s">
        <v>177</v>
      </c>
      <c r="AX1216" s="95" t="s">
        <v>1019</v>
      </c>
      <c r="BB1216" s="95">
        <v>1944</v>
      </c>
      <c r="BC1216" s="95">
        <v>2947</v>
      </c>
      <c r="BE1216" s="95">
        <v>1.39</v>
      </c>
      <c r="BF1216" s="95">
        <v>1.34</v>
      </c>
      <c r="BH1216" s="95">
        <v>1.1000000000000001</v>
      </c>
      <c r="BI1216" s="95">
        <v>0.9</v>
      </c>
      <c r="BJ1216" s="95" t="s">
        <v>1040</v>
      </c>
      <c r="CR1216" s="95">
        <v>1.43</v>
      </c>
      <c r="CS1216" s="95">
        <v>5.13</v>
      </c>
      <c r="DJ1216" s="95">
        <f>0.299-0.087</f>
        <v>0.21199999999999999</v>
      </c>
      <c r="DK1216" s="95">
        <f>0.308-0.087</f>
        <v>0.221</v>
      </c>
      <c r="DL1216" s="95" t="s">
        <v>1042</v>
      </c>
      <c r="FA1216" s="95" t="s">
        <v>1039</v>
      </c>
      <c r="FC1216" s="95">
        <v>57</v>
      </c>
    </row>
    <row r="1217" spans="1:159" s="47" customFormat="1" x14ac:dyDescent="0.25">
      <c r="A1217" s="47">
        <v>57</v>
      </c>
      <c r="B1217" s="47" t="s">
        <v>1016</v>
      </c>
      <c r="C1217" s="47" t="s">
        <v>1017</v>
      </c>
      <c r="D1217" s="47">
        <v>1990</v>
      </c>
      <c r="E1217" s="47">
        <v>1981</v>
      </c>
      <c r="F1217" s="47" t="s">
        <v>1021</v>
      </c>
      <c r="G1217" s="47" t="s">
        <v>1018</v>
      </c>
      <c r="H1217" s="47">
        <v>34.200000000000003</v>
      </c>
      <c r="I1217" s="47">
        <v>-90.58</v>
      </c>
      <c r="J1217" s="47">
        <v>55.3</v>
      </c>
      <c r="P1217" s="82" t="s">
        <v>1024</v>
      </c>
      <c r="Q1217" s="82" t="s">
        <v>1070</v>
      </c>
      <c r="R1217" s="82"/>
      <c r="S1217" s="82" t="s">
        <v>1647</v>
      </c>
      <c r="T1217" s="82" t="s">
        <v>1647</v>
      </c>
      <c r="U1217" s="47">
        <v>1.325</v>
      </c>
      <c r="X1217" s="47" t="s">
        <v>168</v>
      </c>
      <c r="AB1217" s="47" t="s">
        <v>1584</v>
      </c>
      <c r="AC1217" s="47" t="s">
        <v>1803</v>
      </c>
      <c r="AD1217" s="153" t="str">
        <f t="shared" si="254"/>
        <v>Rye/Clover</v>
      </c>
      <c r="AE1217" s="47" t="s">
        <v>709</v>
      </c>
      <c r="AM1217" s="47" t="s">
        <v>1035</v>
      </c>
      <c r="AN1217" s="47" t="s">
        <v>1035</v>
      </c>
      <c r="AO1217" s="47" t="s">
        <v>230</v>
      </c>
      <c r="AP1217" s="47" t="s">
        <v>208</v>
      </c>
      <c r="AQ1217" s="47">
        <v>4</v>
      </c>
      <c r="AR1217" s="47">
        <v>4</v>
      </c>
      <c r="AS1217" s="47" t="s">
        <v>177</v>
      </c>
      <c r="AX1217" s="47" t="s">
        <v>1019</v>
      </c>
      <c r="BB1217" s="47">
        <v>1944</v>
      </c>
      <c r="BC1217" s="47">
        <v>2395</v>
      </c>
      <c r="FA1217" s="47" t="s">
        <v>1039</v>
      </c>
      <c r="FC1217" s="47">
        <v>57</v>
      </c>
    </row>
    <row r="1218" spans="1:159" s="91" customFormat="1" x14ac:dyDescent="0.25">
      <c r="A1218" s="91">
        <v>57</v>
      </c>
      <c r="B1218" s="91" t="s">
        <v>1016</v>
      </c>
      <c r="C1218" s="91" t="s">
        <v>1017</v>
      </c>
      <c r="D1218" s="91">
        <v>1990</v>
      </c>
      <c r="E1218" s="91">
        <v>1983</v>
      </c>
      <c r="F1218" s="91" t="s">
        <v>1021</v>
      </c>
      <c r="G1218" s="91" t="s">
        <v>1018</v>
      </c>
      <c r="H1218" s="91">
        <v>34.200000000000003</v>
      </c>
      <c r="I1218" s="91">
        <v>-90.58</v>
      </c>
      <c r="J1218" s="91">
        <v>55.3</v>
      </c>
      <c r="P1218" s="92" t="s">
        <v>1025</v>
      </c>
      <c r="Q1218" s="92" t="s">
        <v>1071</v>
      </c>
      <c r="R1218" s="92"/>
      <c r="S1218" s="82" t="s">
        <v>1647</v>
      </c>
      <c r="T1218" s="82" t="s">
        <v>1647</v>
      </c>
      <c r="U1218" s="91">
        <v>1.325</v>
      </c>
      <c r="X1218" s="91" t="s">
        <v>168</v>
      </c>
      <c r="AB1218" s="91" t="s">
        <v>1584</v>
      </c>
      <c r="AC1218" s="91" t="s">
        <v>301</v>
      </c>
      <c r="AD1218" s="153" t="str">
        <f t="shared" si="254"/>
        <v>Vetch</v>
      </c>
      <c r="AE1218" s="91" t="s">
        <v>709</v>
      </c>
      <c r="AM1218" s="91" t="s">
        <v>1036</v>
      </c>
      <c r="AN1218" s="91" t="s">
        <v>1036</v>
      </c>
      <c r="AO1218" s="91" t="s">
        <v>230</v>
      </c>
      <c r="AP1218" s="91" t="s">
        <v>208</v>
      </c>
      <c r="AQ1218" s="91">
        <v>4</v>
      </c>
      <c r="AR1218" s="91">
        <v>4</v>
      </c>
      <c r="AS1218" s="91" t="s">
        <v>177</v>
      </c>
      <c r="AU1218" s="91">
        <v>3117</v>
      </c>
      <c r="AX1218" s="91" t="s">
        <v>1019</v>
      </c>
      <c r="BB1218" s="91">
        <v>2930</v>
      </c>
      <c r="BC1218" s="91">
        <v>3145</v>
      </c>
      <c r="FA1218" s="91" t="s">
        <v>1039</v>
      </c>
      <c r="FC1218" s="91">
        <v>57</v>
      </c>
    </row>
    <row r="1219" spans="1:159" s="91" customFormat="1" x14ac:dyDescent="0.25">
      <c r="A1219" s="91">
        <v>57</v>
      </c>
      <c r="B1219" s="91" t="s">
        <v>1016</v>
      </c>
      <c r="C1219" s="91" t="s">
        <v>1017</v>
      </c>
      <c r="D1219" s="91">
        <v>1990</v>
      </c>
      <c r="E1219" s="91">
        <v>1983</v>
      </c>
      <c r="F1219" s="91" t="s">
        <v>1021</v>
      </c>
      <c r="G1219" s="91" t="s">
        <v>1018</v>
      </c>
      <c r="H1219" s="91">
        <v>34.200000000000003</v>
      </c>
      <c r="I1219" s="91">
        <v>-90.58</v>
      </c>
      <c r="J1219" s="91">
        <v>55.3</v>
      </c>
      <c r="P1219" s="92" t="s">
        <v>1025</v>
      </c>
      <c r="Q1219" s="92" t="s">
        <v>1071</v>
      </c>
      <c r="R1219" s="92"/>
      <c r="S1219" s="82" t="s">
        <v>1647</v>
      </c>
      <c r="T1219" s="82" t="s">
        <v>1647</v>
      </c>
      <c r="U1219" s="91">
        <v>1.325</v>
      </c>
      <c r="X1219" s="91" t="s">
        <v>168</v>
      </c>
      <c r="AB1219" s="91" t="s">
        <v>1584</v>
      </c>
      <c r="AC1219" s="91" t="s">
        <v>1802</v>
      </c>
      <c r="AD1219" s="153" t="str">
        <f t="shared" ref="AD1219:AD1282" si="256">IF(OR(AC1219="*Rye",AC1219="Rye*",AC1219="Downy_brome"),"Rye",IF(OR(AC1219="*Oat",AC1219="Oat*",AC1219="Trudan_8",AC1219="*Wheat",AC1219="Wheat*",AC1219="Barley*",AC1219="Hemp",AC1219="Hemp",AC1219="Triticale*",AC1219="Grass",AC1219="Millet"),"Grass",IF(OR(AC1219="*clover",AC1219="clover*",AC1219="Vetch*",AC1219="Vetch*",AC1219="Alfalfa",AC1219="Soybean",AC1219="*Lentil",AC1219="Lentil*",AC1219="*Pea",AC1219="Pea*",AC1219="Lupine"),"Legume",AC1219)))</f>
        <v>Rye/Vetch</v>
      </c>
      <c r="AE1219" s="91" t="s">
        <v>709</v>
      </c>
      <c r="AM1219" s="91" t="s">
        <v>1036</v>
      </c>
      <c r="AN1219" s="91" t="s">
        <v>1036</v>
      </c>
      <c r="AO1219" s="91" t="s">
        <v>230</v>
      </c>
      <c r="AP1219" s="91" t="s">
        <v>208</v>
      </c>
      <c r="AQ1219" s="91">
        <v>4</v>
      </c>
      <c r="AR1219" s="91">
        <v>4</v>
      </c>
      <c r="AS1219" s="91" t="s">
        <v>177</v>
      </c>
      <c r="AU1219" s="91">
        <v>2615</v>
      </c>
      <c r="AX1219" s="91" t="s">
        <v>1019</v>
      </c>
      <c r="BB1219" s="91">
        <v>2930</v>
      </c>
      <c r="BC1219" s="91">
        <v>3156</v>
      </c>
      <c r="FA1219" s="91" t="s">
        <v>1039</v>
      </c>
      <c r="FC1219" s="91">
        <v>57</v>
      </c>
    </row>
    <row r="1220" spans="1:159" s="91" customFormat="1" x14ac:dyDescent="0.25">
      <c r="A1220" s="91">
        <v>57</v>
      </c>
      <c r="B1220" s="91" t="s">
        <v>1016</v>
      </c>
      <c r="C1220" s="91" t="s">
        <v>1017</v>
      </c>
      <c r="D1220" s="91">
        <v>1990</v>
      </c>
      <c r="E1220" s="91">
        <v>1983</v>
      </c>
      <c r="F1220" s="91" t="s">
        <v>1021</v>
      </c>
      <c r="G1220" s="91" t="s">
        <v>1018</v>
      </c>
      <c r="H1220" s="91">
        <v>34.200000000000003</v>
      </c>
      <c r="I1220" s="91">
        <v>-90.58</v>
      </c>
      <c r="J1220" s="91">
        <v>55.3</v>
      </c>
      <c r="P1220" s="92" t="s">
        <v>1025</v>
      </c>
      <c r="Q1220" s="92" t="s">
        <v>1071</v>
      </c>
      <c r="R1220" s="92"/>
      <c r="S1220" s="92" t="s">
        <v>1647</v>
      </c>
      <c r="T1220" s="92" t="s">
        <v>1647</v>
      </c>
      <c r="U1220" s="91">
        <v>1.325</v>
      </c>
      <c r="X1220" s="91" t="s">
        <v>168</v>
      </c>
      <c r="AB1220" s="91" t="s">
        <v>1584</v>
      </c>
      <c r="AC1220" s="91" t="s">
        <v>1803</v>
      </c>
      <c r="AD1220" s="153" t="str">
        <f t="shared" si="256"/>
        <v>Rye/Clover</v>
      </c>
      <c r="AE1220" s="91" t="s">
        <v>709</v>
      </c>
      <c r="AM1220" s="91" t="s">
        <v>1036</v>
      </c>
      <c r="AN1220" s="91" t="s">
        <v>1036</v>
      </c>
      <c r="AO1220" s="91" t="s">
        <v>230</v>
      </c>
      <c r="AP1220" s="91" t="s">
        <v>208</v>
      </c>
      <c r="AQ1220" s="91">
        <v>4</v>
      </c>
      <c r="AR1220" s="91">
        <v>4</v>
      </c>
      <c r="AS1220" s="91" t="s">
        <v>177</v>
      </c>
      <c r="AU1220" s="91">
        <v>4054</v>
      </c>
      <c r="AX1220" s="91" t="s">
        <v>1019</v>
      </c>
      <c r="BB1220" s="91">
        <v>2930</v>
      </c>
      <c r="BC1220" s="91">
        <v>3053</v>
      </c>
      <c r="FA1220" s="91" t="s">
        <v>1039</v>
      </c>
      <c r="FC1220" s="91">
        <v>57</v>
      </c>
    </row>
    <row r="1221" spans="1:159" s="35" customFormat="1" x14ac:dyDescent="0.25">
      <c r="A1221" s="35">
        <v>57</v>
      </c>
      <c r="B1221" s="35" t="s">
        <v>1016</v>
      </c>
      <c r="C1221" s="35" t="s">
        <v>1017</v>
      </c>
      <c r="D1221" s="35">
        <v>1990</v>
      </c>
      <c r="E1221" s="35">
        <v>1984</v>
      </c>
      <c r="F1221" s="35" t="s">
        <v>1021</v>
      </c>
      <c r="G1221" s="35" t="s">
        <v>1018</v>
      </c>
      <c r="H1221" s="35">
        <v>34.200000000000003</v>
      </c>
      <c r="I1221" s="35">
        <v>-90.58</v>
      </c>
      <c r="J1221" s="35">
        <v>55.3</v>
      </c>
      <c r="P1221" s="54" t="s">
        <v>1026</v>
      </c>
      <c r="Q1221" s="54" t="s">
        <v>1072</v>
      </c>
      <c r="R1221" s="54"/>
      <c r="S1221" s="54" t="s">
        <v>1647</v>
      </c>
      <c r="T1221" s="54" t="s">
        <v>1647</v>
      </c>
      <c r="U1221" s="35">
        <v>1.325</v>
      </c>
      <c r="X1221" s="35" t="s">
        <v>168</v>
      </c>
      <c r="AB1221" s="35" t="s">
        <v>1584</v>
      </c>
      <c r="AC1221" s="35" t="s">
        <v>301</v>
      </c>
      <c r="AD1221" s="153" t="str">
        <f t="shared" si="256"/>
        <v>Vetch</v>
      </c>
      <c r="AE1221" s="35" t="s">
        <v>709</v>
      </c>
      <c r="AM1221" s="35" t="s">
        <v>1037</v>
      </c>
      <c r="AN1221" s="35" t="s">
        <v>1037</v>
      </c>
      <c r="AO1221" s="35" t="s">
        <v>230</v>
      </c>
      <c r="AP1221" s="35" t="s">
        <v>208</v>
      </c>
      <c r="AQ1221" s="35">
        <v>4</v>
      </c>
      <c r="AR1221" s="35">
        <v>4</v>
      </c>
      <c r="AS1221" s="35" t="s">
        <v>177</v>
      </c>
      <c r="AX1221" s="35" t="s">
        <v>1019</v>
      </c>
      <c r="BB1221" s="35">
        <v>2012</v>
      </c>
      <c r="BC1221" s="35">
        <v>2461</v>
      </c>
      <c r="FA1221" s="35" t="s">
        <v>1039</v>
      </c>
      <c r="FC1221" s="35">
        <v>57</v>
      </c>
    </row>
    <row r="1222" spans="1:159" s="35" customFormat="1" x14ac:dyDescent="0.25">
      <c r="A1222" s="35">
        <v>57</v>
      </c>
      <c r="B1222" s="35" t="s">
        <v>1016</v>
      </c>
      <c r="C1222" s="35" t="s">
        <v>1017</v>
      </c>
      <c r="D1222" s="35">
        <v>1990</v>
      </c>
      <c r="E1222" s="35">
        <v>1984</v>
      </c>
      <c r="F1222" s="35" t="s">
        <v>1021</v>
      </c>
      <c r="G1222" s="35" t="s">
        <v>1018</v>
      </c>
      <c r="H1222" s="35">
        <v>34.200000000000003</v>
      </c>
      <c r="I1222" s="35">
        <v>-90.58</v>
      </c>
      <c r="J1222" s="35">
        <v>55.3</v>
      </c>
      <c r="P1222" s="54" t="s">
        <v>1026</v>
      </c>
      <c r="Q1222" s="54" t="s">
        <v>1072</v>
      </c>
      <c r="R1222" s="54"/>
      <c r="S1222" s="54" t="s">
        <v>1647</v>
      </c>
      <c r="T1222" s="54" t="s">
        <v>1647</v>
      </c>
      <c r="U1222" s="35">
        <v>1.325</v>
      </c>
      <c r="X1222" s="35" t="s">
        <v>168</v>
      </c>
      <c r="AB1222" s="35" t="s">
        <v>1584</v>
      </c>
      <c r="AC1222" s="35" t="s">
        <v>1802</v>
      </c>
      <c r="AD1222" s="153" t="str">
        <f t="shared" si="256"/>
        <v>Rye/Vetch</v>
      </c>
      <c r="AE1222" s="35" t="s">
        <v>709</v>
      </c>
      <c r="AM1222" s="35" t="s">
        <v>1037</v>
      </c>
      <c r="AN1222" s="35" t="s">
        <v>1037</v>
      </c>
      <c r="AO1222" s="35" t="s">
        <v>230</v>
      </c>
      <c r="AP1222" s="35" t="s">
        <v>208</v>
      </c>
      <c r="AQ1222" s="35">
        <v>4</v>
      </c>
      <c r="AR1222" s="35">
        <v>4</v>
      </c>
      <c r="AS1222" s="35" t="s">
        <v>177</v>
      </c>
      <c r="AX1222" s="35" t="s">
        <v>1019</v>
      </c>
      <c r="BB1222" s="35">
        <v>2012</v>
      </c>
      <c r="BC1222" s="35">
        <v>2581</v>
      </c>
      <c r="FA1222" s="35" t="s">
        <v>1039</v>
      </c>
      <c r="FC1222" s="35">
        <v>57</v>
      </c>
    </row>
    <row r="1223" spans="1:159" s="35" customFormat="1" x14ac:dyDescent="0.25">
      <c r="A1223" s="35">
        <v>57</v>
      </c>
      <c r="B1223" s="35" t="s">
        <v>1016</v>
      </c>
      <c r="C1223" s="35" t="s">
        <v>1017</v>
      </c>
      <c r="D1223" s="35">
        <v>1990</v>
      </c>
      <c r="E1223" s="35">
        <v>1984</v>
      </c>
      <c r="F1223" s="35" t="s">
        <v>1021</v>
      </c>
      <c r="G1223" s="35" t="s">
        <v>1018</v>
      </c>
      <c r="H1223" s="35">
        <v>34.200000000000003</v>
      </c>
      <c r="I1223" s="35">
        <v>-90.58</v>
      </c>
      <c r="J1223" s="35">
        <v>55.3</v>
      </c>
      <c r="P1223" s="54" t="s">
        <v>1026</v>
      </c>
      <c r="Q1223" s="54" t="s">
        <v>1072</v>
      </c>
      <c r="R1223" s="54"/>
      <c r="S1223" s="54" t="s">
        <v>1647</v>
      </c>
      <c r="T1223" s="54" t="s">
        <v>1647</v>
      </c>
      <c r="U1223" s="35">
        <v>1.325</v>
      </c>
      <c r="X1223" s="35" t="s">
        <v>168</v>
      </c>
      <c r="AB1223" s="35" t="s">
        <v>1584</v>
      </c>
      <c r="AC1223" s="35" t="s">
        <v>1803</v>
      </c>
      <c r="AD1223" s="153" t="str">
        <f t="shared" si="256"/>
        <v>Rye/Clover</v>
      </c>
      <c r="AE1223" s="35" t="s">
        <v>709</v>
      </c>
      <c r="AM1223" s="35" t="s">
        <v>1037</v>
      </c>
      <c r="AN1223" s="35" t="s">
        <v>1037</v>
      </c>
      <c r="AO1223" s="35" t="s">
        <v>230</v>
      </c>
      <c r="AP1223" s="35" t="s">
        <v>208</v>
      </c>
      <c r="AQ1223" s="35">
        <v>4</v>
      </c>
      <c r="AR1223" s="35">
        <v>4</v>
      </c>
      <c r="AS1223" s="35" t="s">
        <v>177</v>
      </c>
      <c r="AX1223" s="35" t="s">
        <v>1019</v>
      </c>
      <c r="BB1223" s="35">
        <v>2012</v>
      </c>
      <c r="BC1223" s="35">
        <v>2389</v>
      </c>
      <c r="FA1223" s="35" t="s">
        <v>1039</v>
      </c>
      <c r="FC1223" s="35">
        <v>57</v>
      </c>
    </row>
    <row r="1224" spans="1:159" s="91" customFormat="1" x14ac:dyDescent="0.25">
      <c r="A1224" s="91">
        <v>57</v>
      </c>
      <c r="B1224" s="91" t="s">
        <v>1016</v>
      </c>
      <c r="C1224" s="91" t="s">
        <v>1017</v>
      </c>
      <c r="D1224" s="91">
        <v>1990</v>
      </c>
      <c r="E1224" s="91">
        <v>1985</v>
      </c>
      <c r="F1224" s="91" t="s">
        <v>1021</v>
      </c>
      <c r="G1224" s="91" t="s">
        <v>1018</v>
      </c>
      <c r="H1224" s="91">
        <v>34.200000000000003</v>
      </c>
      <c r="I1224" s="91">
        <v>-90.58</v>
      </c>
      <c r="J1224" s="91">
        <v>55.3</v>
      </c>
      <c r="P1224" s="92" t="s">
        <v>1027</v>
      </c>
      <c r="Q1224" s="92" t="s">
        <v>1073</v>
      </c>
      <c r="R1224" s="92"/>
      <c r="S1224" s="92" t="s">
        <v>1647</v>
      </c>
      <c r="T1224" s="92" t="s">
        <v>1647</v>
      </c>
      <c r="U1224" s="91">
        <v>1.325</v>
      </c>
      <c r="X1224" s="91" t="s">
        <v>168</v>
      </c>
      <c r="AB1224" s="91" t="s">
        <v>1584</v>
      </c>
      <c r="AC1224" s="91" t="s">
        <v>301</v>
      </c>
      <c r="AD1224" s="153" t="str">
        <f t="shared" si="256"/>
        <v>Vetch</v>
      </c>
      <c r="AE1224" s="91" t="s">
        <v>709</v>
      </c>
      <c r="AM1224" s="91" t="s">
        <v>1037</v>
      </c>
      <c r="AN1224" s="91" t="s">
        <v>1037</v>
      </c>
      <c r="AO1224" s="91" t="s">
        <v>230</v>
      </c>
      <c r="AP1224" s="91" t="s">
        <v>208</v>
      </c>
      <c r="AQ1224" s="91">
        <v>4</v>
      </c>
      <c r="AR1224" s="91">
        <v>4</v>
      </c>
      <c r="AS1224" s="91" t="s">
        <v>177</v>
      </c>
      <c r="AU1224" s="91">
        <v>2100</v>
      </c>
      <c r="AX1224" s="91" t="s">
        <v>1019</v>
      </c>
      <c r="BB1224" s="91">
        <v>3471</v>
      </c>
      <c r="BC1224" s="91">
        <v>3693</v>
      </c>
      <c r="FA1224" s="91" t="s">
        <v>1039</v>
      </c>
      <c r="FC1224" s="91">
        <v>57</v>
      </c>
    </row>
    <row r="1225" spans="1:159" s="91" customFormat="1" x14ac:dyDescent="0.25">
      <c r="A1225" s="91">
        <v>57</v>
      </c>
      <c r="B1225" s="91" t="s">
        <v>1016</v>
      </c>
      <c r="C1225" s="91" t="s">
        <v>1017</v>
      </c>
      <c r="D1225" s="91">
        <v>1990</v>
      </c>
      <c r="E1225" s="91">
        <v>1985</v>
      </c>
      <c r="F1225" s="91" t="s">
        <v>1021</v>
      </c>
      <c r="G1225" s="91" t="s">
        <v>1018</v>
      </c>
      <c r="H1225" s="91">
        <v>34.200000000000003</v>
      </c>
      <c r="I1225" s="91">
        <v>-90.58</v>
      </c>
      <c r="J1225" s="91">
        <v>55.3</v>
      </c>
      <c r="P1225" s="92" t="s">
        <v>1027</v>
      </c>
      <c r="Q1225" s="92" t="s">
        <v>1073</v>
      </c>
      <c r="R1225" s="92"/>
      <c r="S1225" s="92" t="s">
        <v>1647</v>
      </c>
      <c r="T1225" s="92" t="s">
        <v>1647</v>
      </c>
      <c r="U1225" s="91">
        <v>1.325</v>
      </c>
      <c r="X1225" s="91" t="s">
        <v>168</v>
      </c>
      <c r="AB1225" s="91" t="s">
        <v>1584</v>
      </c>
      <c r="AC1225" s="91" t="s">
        <v>1802</v>
      </c>
      <c r="AD1225" s="153" t="str">
        <f t="shared" si="256"/>
        <v>Rye/Vetch</v>
      </c>
      <c r="AE1225" s="91" t="s">
        <v>709</v>
      </c>
      <c r="AM1225" s="91" t="s">
        <v>1037</v>
      </c>
      <c r="AN1225" s="91" t="s">
        <v>1037</v>
      </c>
      <c r="AO1225" s="91" t="s">
        <v>230</v>
      </c>
      <c r="AP1225" s="91" t="s">
        <v>208</v>
      </c>
      <c r="AQ1225" s="91">
        <v>4</v>
      </c>
      <c r="AR1225" s="91">
        <v>4</v>
      </c>
      <c r="AS1225" s="91" t="s">
        <v>177</v>
      </c>
      <c r="AU1225" s="91">
        <v>1999</v>
      </c>
      <c r="AX1225" s="91" t="s">
        <v>1019</v>
      </c>
      <c r="BB1225" s="91">
        <v>3471</v>
      </c>
      <c r="BC1225" s="91">
        <v>3845</v>
      </c>
      <c r="FA1225" s="91" t="s">
        <v>1039</v>
      </c>
      <c r="FC1225" s="91">
        <v>57</v>
      </c>
    </row>
    <row r="1226" spans="1:159" s="91" customFormat="1" x14ac:dyDescent="0.25">
      <c r="A1226" s="91">
        <v>57</v>
      </c>
      <c r="B1226" s="91" t="s">
        <v>1016</v>
      </c>
      <c r="C1226" s="91" t="s">
        <v>1017</v>
      </c>
      <c r="D1226" s="91">
        <v>1990</v>
      </c>
      <c r="E1226" s="91">
        <v>1985</v>
      </c>
      <c r="F1226" s="91" t="s">
        <v>1021</v>
      </c>
      <c r="G1226" s="91" t="s">
        <v>1018</v>
      </c>
      <c r="H1226" s="91">
        <v>34.200000000000003</v>
      </c>
      <c r="I1226" s="91">
        <v>-90.58</v>
      </c>
      <c r="J1226" s="91">
        <v>55.3</v>
      </c>
      <c r="P1226" s="92" t="s">
        <v>1027</v>
      </c>
      <c r="Q1226" s="92" t="s">
        <v>1073</v>
      </c>
      <c r="R1226" s="92"/>
      <c r="S1226" s="92" t="s">
        <v>1647</v>
      </c>
      <c r="T1226" s="92" t="s">
        <v>1647</v>
      </c>
      <c r="U1226" s="91">
        <v>1.325</v>
      </c>
      <c r="X1226" s="91" t="s">
        <v>168</v>
      </c>
      <c r="AB1226" s="91" t="s">
        <v>1584</v>
      </c>
      <c r="AC1226" s="91" t="s">
        <v>1803</v>
      </c>
      <c r="AD1226" s="153" t="str">
        <f t="shared" si="256"/>
        <v>Rye/Clover</v>
      </c>
      <c r="AE1226" s="91" t="s">
        <v>709</v>
      </c>
      <c r="AM1226" s="91" t="s">
        <v>1037</v>
      </c>
      <c r="AN1226" s="91" t="s">
        <v>1037</v>
      </c>
      <c r="AO1226" s="91" t="s">
        <v>230</v>
      </c>
      <c r="AP1226" s="91" t="s">
        <v>208</v>
      </c>
      <c r="AQ1226" s="91">
        <v>4</v>
      </c>
      <c r="AR1226" s="91">
        <v>4</v>
      </c>
      <c r="AS1226" s="91" t="s">
        <v>177</v>
      </c>
      <c r="AU1226" s="91">
        <v>3151</v>
      </c>
      <c r="AX1226" s="91" t="s">
        <v>1019</v>
      </c>
      <c r="BB1226" s="91">
        <v>3471</v>
      </c>
      <c r="BC1226" s="91">
        <v>3666</v>
      </c>
      <c r="FA1226" s="91" t="s">
        <v>1039</v>
      </c>
      <c r="FC1226" s="91">
        <v>57</v>
      </c>
    </row>
    <row r="1227" spans="1:159" s="35" customFormat="1" x14ac:dyDescent="0.25">
      <c r="A1227" s="35">
        <v>57</v>
      </c>
      <c r="B1227" s="35" t="s">
        <v>1016</v>
      </c>
      <c r="C1227" s="35" t="s">
        <v>1017</v>
      </c>
      <c r="D1227" s="35">
        <v>1990</v>
      </c>
      <c r="E1227" s="35">
        <v>1986</v>
      </c>
      <c r="F1227" s="35" t="s">
        <v>1021</v>
      </c>
      <c r="G1227" s="35" t="s">
        <v>1018</v>
      </c>
      <c r="H1227" s="35">
        <v>34.200000000000003</v>
      </c>
      <c r="I1227" s="35">
        <v>-90.58</v>
      </c>
      <c r="J1227" s="35">
        <v>55.3</v>
      </c>
      <c r="P1227" s="54" t="s">
        <v>1028</v>
      </c>
      <c r="Q1227" s="54" t="s">
        <v>1060</v>
      </c>
      <c r="R1227" s="54"/>
      <c r="S1227" s="54" t="s">
        <v>1647</v>
      </c>
      <c r="T1227" s="54" t="s">
        <v>1647</v>
      </c>
      <c r="U1227" s="35">
        <v>1.325</v>
      </c>
      <c r="X1227" s="35" t="s">
        <v>168</v>
      </c>
      <c r="AB1227" s="35" t="s">
        <v>1584</v>
      </c>
      <c r="AC1227" s="35" t="s">
        <v>301</v>
      </c>
      <c r="AD1227" s="153" t="str">
        <f t="shared" si="256"/>
        <v>Vetch</v>
      </c>
      <c r="AE1227" s="35" t="s">
        <v>709</v>
      </c>
      <c r="AM1227" s="35" t="s">
        <v>1032</v>
      </c>
      <c r="AN1227" s="35" t="s">
        <v>1032</v>
      </c>
      <c r="AO1227" s="35" t="s">
        <v>230</v>
      </c>
      <c r="AP1227" s="35" t="s">
        <v>208</v>
      </c>
      <c r="AQ1227" s="35">
        <v>4</v>
      </c>
      <c r="AR1227" s="35">
        <v>4</v>
      </c>
      <c r="AS1227" s="35" t="s">
        <v>177</v>
      </c>
      <c r="AX1227" s="35" t="s">
        <v>1019</v>
      </c>
      <c r="BB1227" s="35">
        <v>2664</v>
      </c>
      <c r="BC1227" s="35">
        <v>2351</v>
      </c>
      <c r="FA1227" s="35" t="s">
        <v>1039</v>
      </c>
      <c r="FC1227" s="35">
        <v>57</v>
      </c>
    </row>
    <row r="1228" spans="1:159" s="35" customFormat="1" x14ac:dyDescent="0.25">
      <c r="A1228" s="35">
        <v>57</v>
      </c>
      <c r="B1228" s="35" t="s">
        <v>1016</v>
      </c>
      <c r="C1228" s="35" t="s">
        <v>1017</v>
      </c>
      <c r="D1228" s="35">
        <v>1990</v>
      </c>
      <c r="E1228" s="35">
        <v>1986</v>
      </c>
      <c r="F1228" s="35" t="s">
        <v>1021</v>
      </c>
      <c r="G1228" s="35" t="s">
        <v>1018</v>
      </c>
      <c r="H1228" s="35">
        <v>34.200000000000003</v>
      </c>
      <c r="I1228" s="35">
        <v>-90.58</v>
      </c>
      <c r="J1228" s="35">
        <v>55.3</v>
      </c>
      <c r="P1228" s="54" t="s">
        <v>1028</v>
      </c>
      <c r="Q1228" s="54" t="s">
        <v>1060</v>
      </c>
      <c r="R1228" s="54"/>
      <c r="S1228" s="54" t="s">
        <v>1647</v>
      </c>
      <c r="T1228" s="54" t="s">
        <v>1647</v>
      </c>
      <c r="U1228" s="35">
        <v>1.325</v>
      </c>
      <c r="X1228" s="35" t="s">
        <v>168</v>
      </c>
      <c r="AB1228" s="35" t="s">
        <v>1584</v>
      </c>
      <c r="AC1228" s="35" t="s">
        <v>1802</v>
      </c>
      <c r="AD1228" s="153" t="str">
        <f t="shared" si="256"/>
        <v>Rye/Vetch</v>
      </c>
      <c r="AE1228" s="35" t="s">
        <v>709</v>
      </c>
      <c r="AM1228" s="35" t="s">
        <v>1032</v>
      </c>
      <c r="AN1228" s="35" t="s">
        <v>1032</v>
      </c>
      <c r="AO1228" s="35" t="s">
        <v>230</v>
      </c>
      <c r="AP1228" s="35" t="s">
        <v>208</v>
      </c>
      <c r="AQ1228" s="35">
        <v>4</v>
      </c>
      <c r="AR1228" s="35">
        <v>4</v>
      </c>
      <c r="AS1228" s="35" t="s">
        <v>177</v>
      </c>
      <c r="AX1228" s="35" t="s">
        <v>1019</v>
      </c>
      <c r="BB1228" s="35">
        <v>2664</v>
      </c>
      <c r="BC1228" s="35">
        <v>2610</v>
      </c>
      <c r="FA1228" s="35" t="s">
        <v>1039</v>
      </c>
      <c r="FC1228" s="35">
        <v>57</v>
      </c>
    </row>
    <row r="1229" spans="1:159" s="35" customFormat="1" x14ac:dyDescent="0.25">
      <c r="A1229" s="35">
        <v>57</v>
      </c>
      <c r="B1229" s="35" t="s">
        <v>1016</v>
      </c>
      <c r="C1229" s="35" t="s">
        <v>1017</v>
      </c>
      <c r="D1229" s="35">
        <v>1990</v>
      </c>
      <c r="E1229" s="35">
        <v>1986</v>
      </c>
      <c r="F1229" s="35" t="s">
        <v>1021</v>
      </c>
      <c r="G1229" s="35" t="s">
        <v>1018</v>
      </c>
      <c r="H1229" s="35">
        <v>34.200000000000003</v>
      </c>
      <c r="I1229" s="35">
        <v>-90.58</v>
      </c>
      <c r="J1229" s="35">
        <v>55.3</v>
      </c>
      <c r="P1229" s="54" t="s">
        <v>1028</v>
      </c>
      <c r="Q1229" s="54" t="s">
        <v>1060</v>
      </c>
      <c r="R1229" s="54"/>
      <c r="S1229" s="54" t="s">
        <v>1647</v>
      </c>
      <c r="T1229" s="54" t="s">
        <v>1647</v>
      </c>
      <c r="U1229" s="35">
        <v>1.325</v>
      </c>
      <c r="X1229" s="35" t="s">
        <v>168</v>
      </c>
      <c r="AB1229" s="35" t="s">
        <v>1584</v>
      </c>
      <c r="AC1229" s="35" t="s">
        <v>1803</v>
      </c>
      <c r="AD1229" s="153" t="str">
        <f t="shared" si="256"/>
        <v>Rye/Clover</v>
      </c>
      <c r="AE1229" s="35" t="s">
        <v>709</v>
      </c>
      <c r="AM1229" s="35" t="s">
        <v>1032</v>
      </c>
      <c r="AN1229" s="35" t="s">
        <v>1032</v>
      </c>
      <c r="AO1229" s="35" t="s">
        <v>230</v>
      </c>
      <c r="AP1229" s="35" t="s">
        <v>208</v>
      </c>
      <c r="AQ1229" s="35">
        <v>4</v>
      </c>
      <c r="AR1229" s="35">
        <v>4</v>
      </c>
      <c r="AS1229" s="35" t="s">
        <v>177</v>
      </c>
      <c r="AX1229" s="35" t="s">
        <v>1019</v>
      </c>
      <c r="BB1229" s="35">
        <v>2664</v>
      </c>
      <c r="BC1229" s="35">
        <v>2260</v>
      </c>
      <c r="FA1229" s="35" t="s">
        <v>1039</v>
      </c>
      <c r="FC1229" s="35">
        <v>57</v>
      </c>
    </row>
    <row r="1230" spans="1:159" s="47" customFormat="1" x14ac:dyDescent="0.25">
      <c r="A1230" s="47">
        <v>57</v>
      </c>
      <c r="B1230" s="47" t="s">
        <v>1016</v>
      </c>
      <c r="C1230" s="47" t="s">
        <v>1017</v>
      </c>
      <c r="D1230" s="47">
        <v>1990</v>
      </c>
      <c r="E1230" s="47">
        <v>1987</v>
      </c>
      <c r="F1230" s="47" t="s">
        <v>1021</v>
      </c>
      <c r="G1230" s="47" t="s">
        <v>1018</v>
      </c>
      <c r="H1230" s="47">
        <v>34.200000000000003</v>
      </c>
      <c r="I1230" s="47">
        <v>-90.58</v>
      </c>
      <c r="J1230" s="47">
        <v>55.3</v>
      </c>
      <c r="P1230" s="82" t="s">
        <v>207</v>
      </c>
      <c r="Q1230" s="82" t="s">
        <v>1069</v>
      </c>
      <c r="R1230" s="82"/>
      <c r="S1230" s="82" t="s">
        <v>1647</v>
      </c>
      <c r="T1230" s="82" t="s">
        <v>1647</v>
      </c>
      <c r="U1230" s="47">
        <v>1.325</v>
      </c>
      <c r="X1230" s="47" t="s">
        <v>168</v>
      </c>
      <c r="AB1230" s="91" t="s">
        <v>1584</v>
      </c>
      <c r="AC1230" s="47" t="s">
        <v>301</v>
      </c>
      <c r="AD1230" s="153" t="str">
        <f t="shared" si="256"/>
        <v>Vetch</v>
      </c>
      <c r="AE1230" s="47" t="s">
        <v>709</v>
      </c>
      <c r="AM1230" s="47" t="s">
        <v>1032</v>
      </c>
      <c r="AN1230" s="47" t="s">
        <v>1032</v>
      </c>
      <c r="AO1230" s="47" t="s">
        <v>230</v>
      </c>
      <c r="AP1230" s="47" t="s">
        <v>208</v>
      </c>
      <c r="AQ1230" s="47">
        <v>4</v>
      </c>
      <c r="AR1230" s="47">
        <v>4</v>
      </c>
      <c r="AS1230" s="47" t="s">
        <v>177</v>
      </c>
      <c r="AX1230" s="47" t="s">
        <v>1019</v>
      </c>
      <c r="BB1230" s="47">
        <v>2490</v>
      </c>
      <c r="BC1230" s="47">
        <v>2781</v>
      </c>
      <c r="FA1230" s="47" t="s">
        <v>1039</v>
      </c>
      <c r="FC1230" s="47">
        <v>57</v>
      </c>
    </row>
    <row r="1231" spans="1:159" s="47" customFormat="1" x14ac:dyDescent="0.25">
      <c r="A1231" s="47">
        <v>57</v>
      </c>
      <c r="B1231" s="47" t="s">
        <v>1016</v>
      </c>
      <c r="C1231" s="47" t="s">
        <v>1017</v>
      </c>
      <c r="D1231" s="47">
        <v>1990</v>
      </c>
      <c r="E1231" s="47">
        <v>1987</v>
      </c>
      <c r="F1231" s="47" t="s">
        <v>1021</v>
      </c>
      <c r="G1231" s="47" t="s">
        <v>1018</v>
      </c>
      <c r="H1231" s="47">
        <v>34.200000000000003</v>
      </c>
      <c r="I1231" s="47">
        <v>-90.58</v>
      </c>
      <c r="J1231" s="47">
        <v>55.3</v>
      </c>
      <c r="P1231" s="82" t="s">
        <v>207</v>
      </c>
      <c r="Q1231" s="82" t="s">
        <v>1069</v>
      </c>
      <c r="R1231" s="82"/>
      <c r="S1231" s="82" t="s">
        <v>1647</v>
      </c>
      <c r="T1231" s="82" t="s">
        <v>1647</v>
      </c>
      <c r="U1231" s="47">
        <v>1.325</v>
      </c>
      <c r="X1231" s="47" t="s">
        <v>168</v>
      </c>
      <c r="AB1231" s="91" t="s">
        <v>1584</v>
      </c>
      <c r="AC1231" s="47" t="s">
        <v>1802</v>
      </c>
      <c r="AD1231" s="153" t="str">
        <f t="shared" si="256"/>
        <v>Rye/Vetch</v>
      </c>
      <c r="AE1231" s="47" t="s">
        <v>709</v>
      </c>
      <c r="AM1231" s="47" t="s">
        <v>1032</v>
      </c>
      <c r="AN1231" s="47" t="s">
        <v>1032</v>
      </c>
      <c r="AO1231" s="47" t="s">
        <v>230</v>
      </c>
      <c r="AP1231" s="47" t="s">
        <v>208</v>
      </c>
      <c r="AQ1231" s="47">
        <v>4</v>
      </c>
      <c r="AR1231" s="47">
        <v>4</v>
      </c>
      <c r="AS1231" s="47" t="s">
        <v>177</v>
      </c>
      <c r="AX1231" s="47" t="s">
        <v>1019</v>
      </c>
      <c r="BB1231" s="47">
        <v>2490</v>
      </c>
      <c r="BC1231" s="47">
        <v>2798</v>
      </c>
      <c r="FA1231" s="47" t="s">
        <v>1039</v>
      </c>
      <c r="FC1231" s="47">
        <v>57</v>
      </c>
    </row>
    <row r="1232" spans="1:159" s="47" customFormat="1" x14ac:dyDescent="0.25">
      <c r="A1232" s="47">
        <v>57</v>
      </c>
      <c r="B1232" s="47" t="s">
        <v>1016</v>
      </c>
      <c r="C1232" s="47" t="s">
        <v>1017</v>
      </c>
      <c r="D1232" s="47">
        <v>1990</v>
      </c>
      <c r="E1232" s="47">
        <v>1987</v>
      </c>
      <c r="F1232" s="47" t="s">
        <v>1021</v>
      </c>
      <c r="G1232" s="47" t="s">
        <v>1018</v>
      </c>
      <c r="H1232" s="47">
        <v>34.200000000000003</v>
      </c>
      <c r="I1232" s="47">
        <v>-90.58</v>
      </c>
      <c r="J1232" s="47">
        <v>55.3</v>
      </c>
      <c r="P1232" s="82" t="s">
        <v>207</v>
      </c>
      <c r="Q1232" s="82" t="s">
        <v>1069</v>
      </c>
      <c r="R1232" s="82"/>
      <c r="S1232" s="82" t="s">
        <v>1647</v>
      </c>
      <c r="T1232" s="82" t="s">
        <v>1647</v>
      </c>
      <c r="U1232" s="47">
        <v>1.325</v>
      </c>
      <c r="X1232" s="47" t="s">
        <v>168</v>
      </c>
      <c r="AB1232" s="91" t="s">
        <v>1584</v>
      </c>
      <c r="AC1232" s="47" t="s">
        <v>1803</v>
      </c>
      <c r="AD1232" s="153" t="str">
        <f t="shared" si="256"/>
        <v>Rye/Clover</v>
      </c>
      <c r="AE1232" s="47" t="s">
        <v>709</v>
      </c>
      <c r="AM1232" s="47" t="s">
        <v>1032</v>
      </c>
      <c r="AN1232" s="47" t="s">
        <v>1032</v>
      </c>
      <c r="AO1232" s="47" t="s">
        <v>230</v>
      </c>
      <c r="AP1232" s="47" t="s">
        <v>208</v>
      </c>
      <c r="AQ1232" s="47">
        <v>4</v>
      </c>
      <c r="AR1232" s="47">
        <v>4</v>
      </c>
      <c r="AS1232" s="47" t="s">
        <v>177</v>
      </c>
      <c r="AX1232" s="47" t="s">
        <v>1019</v>
      </c>
      <c r="BB1232" s="47">
        <v>2490</v>
      </c>
      <c r="BC1232" s="47">
        <v>2925</v>
      </c>
      <c r="FA1232" s="47" t="s">
        <v>1039</v>
      </c>
      <c r="FC1232" s="47">
        <v>57</v>
      </c>
    </row>
    <row r="1233" spans="1:159" s="93" customFormat="1" x14ac:dyDescent="0.25">
      <c r="A1233" s="93">
        <v>57</v>
      </c>
      <c r="B1233" s="93" t="s">
        <v>1016</v>
      </c>
      <c r="C1233" s="93" t="s">
        <v>1017</v>
      </c>
      <c r="D1233" s="93">
        <v>1990</v>
      </c>
      <c r="E1233" s="93">
        <v>1988</v>
      </c>
      <c r="F1233" s="93" t="s">
        <v>1021</v>
      </c>
      <c r="G1233" s="93" t="s">
        <v>1018</v>
      </c>
      <c r="H1233" s="93">
        <v>34.200000000000003</v>
      </c>
      <c r="I1233" s="93">
        <v>-90.58</v>
      </c>
      <c r="J1233" s="93">
        <v>55.3</v>
      </c>
      <c r="P1233" s="94" t="s">
        <v>1029</v>
      </c>
      <c r="Q1233" s="94" t="s">
        <v>1074</v>
      </c>
      <c r="R1233" s="94"/>
      <c r="S1233" s="94" t="s">
        <v>1647</v>
      </c>
      <c r="T1233" s="94" t="s">
        <v>1647</v>
      </c>
      <c r="U1233" s="93">
        <v>1.325</v>
      </c>
      <c r="X1233" s="93" t="s">
        <v>168</v>
      </c>
      <c r="AB1233" s="35" t="s">
        <v>1584</v>
      </c>
      <c r="AC1233" s="93" t="s">
        <v>301</v>
      </c>
      <c r="AD1233" s="153" t="str">
        <f t="shared" si="256"/>
        <v>Vetch</v>
      </c>
      <c r="AE1233" s="93" t="s">
        <v>709</v>
      </c>
      <c r="AM1233" s="93" t="s">
        <v>1038</v>
      </c>
      <c r="AN1233" s="93" t="s">
        <v>1038</v>
      </c>
      <c r="AO1233" s="93" t="s">
        <v>230</v>
      </c>
      <c r="AP1233" s="93" t="s">
        <v>208</v>
      </c>
      <c r="AQ1233" s="93">
        <v>4</v>
      </c>
      <c r="AR1233" s="93">
        <v>4</v>
      </c>
      <c r="AS1233" s="93" t="s">
        <v>177</v>
      </c>
      <c r="AU1233" s="93">
        <v>2439</v>
      </c>
      <c r="AX1233" s="93" t="s">
        <v>1019</v>
      </c>
      <c r="BB1233" s="93">
        <v>3135</v>
      </c>
      <c r="BC1233" s="93">
        <v>2191</v>
      </c>
      <c r="FA1233" s="93" t="s">
        <v>1039</v>
      </c>
      <c r="FC1233" s="93">
        <v>57</v>
      </c>
    </row>
    <row r="1234" spans="1:159" s="93" customFormat="1" x14ac:dyDescent="0.25">
      <c r="A1234" s="93">
        <v>57</v>
      </c>
      <c r="B1234" s="93" t="s">
        <v>1016</v>
      </c>
      <c r="C1234" s="93" t="s">
        <v>1017</v>
      </c>
      <c r="D1234" s="93">
        <v>1990</v>
      </c>
      <c r="E1234" s="93">
        <v>1988</v>
      </c>
      <c r="F1234" s="93" t="s">
        <v>1021</v>
      </c>
      <c r="G1234" s="93" t="s">
        <v>1018</v>
      </c>
      <c r="H1234" s="93">
        <v>34.200000000000003</v>
      </c>
      <c r="I1234" s="93">
        <v>-90.58</v>
      </c>
      <c r="J1234" s="93">
        <v>55.3</v>
      </c>
      <c r="P1234" s="94" t="s">
        <v>1029</v>
      </c>
      <c r="Q1234" s="94" t="s">
        <v>1074</v>
      </c>
      <c r="R1234" s="94"/>
      <c r="S1234" s="94" t="s">
        <v>1647</v>
      </c>
      <c r="T1234" s="94" t="s">
        <v>1647</v>
      </c>
      <c r="U1234" s="93">
        <v>1.325</v>
      </c>
      <c r="X1234" s="93" t="s">
        <v>168</v>
      </c>
      <c r="AB1234" s="35" t="s">
        <v>1584</v>
      </c>
      <c r="AC1234" s="93" t="s">
        <v>1802</v>
      </c>
      <c r="AD1234" s="153" t="str">
        <f t="shared" si="256"/>
        <v>Rye/Vetch</v>
      </c>
      <c r="AE1234" s="93" t="s">
        <v>709</v>
      </c>
      <c r="AM1234" s="93" t="s">
        <v>1038</v>
      </c>
      <c r="AN1234" s="93" t="s">
        <v>1038</v>
      </c>
      <c r="AO1234" s="93" t="s">
        <v>230</v>
      </c>
      <c r="AP1234" s="93" t="s">
        <v>208</v>
      </c>
      <c r="AQ1234" s="93">
        <v>4</v>
      </c>
      <c r="AR1234" s="93">
        <v>4</v>
      </c>
      <c r="AS1234" s="93" t="s">
        <v>177</v>
      </c>
      <c r="AU1234" s="93">
        <v>2710</v>
      </c>
      <c r="AX1234" s="93" t="s">
        <v>1019</v>
      </c>
      <c r="BB1234" s="93">
        <v>3135</v>
      </c>
      <c r="BC1234" s="93">
        <v>2596</v>
      </c>
      <c r="FA1234" s="93" t="s">
        <v>1039</v>
      </c>
      <c r="FC1234" s="93">
        <v>57</v>
      </c>
    </row>
    <row r="1235" spans="1:159" s="93" customFormat="1" x14ac:dyDescent="0.25">
      <c r="A1235" s="93">
        <v>57</v>
      </c>
      <c r="B1235" s="93" t="s">
        <v>1016</v>
      </c>
      <c r="C1235" s="93" t="s">
        <v>1017</v>
      </c>
      <c r="D1235" s="93">
        <v>1990</v>
      </c>
      <c r="E1235" s="93">
        <v>1988</v>
      </c>
      <c r="F1235" s="93" t="s">
        <v>1021</v>
      </c>
      <c r="G1235" s="93" t="s">
        <v>1018</v>
      </c>
      <c r="H1235" s="93">
        <v>34.200000000000003</v>
      </c>
      <c r="I1235" s="93">
        <v>-90.58</v>
      </c>
      <c r="J1235" s="93">
        <v>55.3</v>
      </c>
      <c r="P1235" s="94" t="s">
        <v>1029</v>
      </c>
      <c r="Q1235" s="94" t="s">
        <v>1074</v>
      </c>
      <c r="R1235" s="94"/>
      <c r="S1235" s="94" t="s">
        <v>1647</v>
      </c>
      <c r="T1235" s="94" t="s">
        <v>1647</v>
      </c>
      <c r="U1235" s="93">
        <v>1.325</v>
      </c>
      <c r="X1235" s="93" t="s">
        <v>168</v>
      </c>
      <c r="AB1235" s="35" t="s">
        <v>1584</v>
      </c>
      <c r="AC1235" s="93" t="s">
        <v>1803</v>
      </c>
      <c r="AD1235" s="153" t="str">
        <f t="shared" si="256"/>
        <v>Rye/Clover</v>
      </c>
      <c r="AE1235" s="93" t="s">
        <v>709</v>
      </c>
      <c r="AM1235" s="93" t="s">
        <v>1038</v>
      </c>
      <c r="AN1235" s="93" t="s">
        <v>1038</v>
      </c>
      <c r="AO1235" s="93" t="s">
        <v>230</v>
      </c>
      <c r="AP1235" s="93" t="s">
        <v>208</v>
      </c>
      <c r="AQ1235" s="93">
        <v>4</v>
      </c>
      <c r="AR1235" s="93">
        <v>4</v>
      </c>
      <c r="AS1235" s="93" t="s">
        <v>177</v>
      </c>
      <c r="AU1235" s="93">
        <v>3524</v>
      </c>
      <c r="AX1235" s="93" t="s">
        <v>1019</v>
      </c>
      <c r="BB1235" s="93">
        <v>3135</v>
      </c>
      <c r="BC1235" s="93">
        <v>2723</v>
      </c>
      <c r="FA1235" s="93" t="s">
        <v>1039</v>
      </c>
      <c r="FC1235" s="93">
        <v>57</v>
      </c>
    </row>
    <row r="1236" spans="1:159" x14ac:dyDescent="0.25">
      <c r="A1236" s="46">
        <v>58</v>
      </c>
      <c r="B1236" s="46" t="s">
        <v>1054</v>
      </c>
      <c r="C1236" s="46" t="s">
        <v>1055</v>
      </c>
      <c r="D1236" s="46">
        <v>1990</v>
      </c>
      <c r="E1236" s="46">
        <v>1987</v>
      </c>
      <c r="F1236" s="46" t="s">
        <v>1056</v>
      </c>
      <c r="G1236" s="46" t="s">
        <v>1083</v>
      </c>
      <c r="H1236" s="46">
        <v>38.92</v>
      </c>
      <c r="I1236" s="46">
        <v>-76.150000000000006</v>
      </c>
      <c r="J1236" s="46">
        <v>5</v>
      </c>
      <c r="M1236" s="46">
        <v>836</v>
      </c>
      <c r="P1236" s="81" t="s">
        <v>179</v>
      </c>
      <c r="Q1236" s="46" t="s">
        <v>1057</v>
      </c>
      <c r="R1236" s="81" t="s">
        <v>1075</v>
      </c>
      <c r="S1236" s="81" t="s">
        <v>1654</v>
      </c>
      <c r="T1236" s="81" t="s">
        <v>1654</v>
      </c>
      <c r="U1236" s="46">
        <v>1.5</v>
      </c>
      <c r="X1236" s="46" t="s">
        <v>168</v>
      </c>
      <c r="AB1236" s="46" t="s">
        <v>1585</v>
      </c>
      <c r="AC1236" s="46" t="s">
        <v>166</v>
      </c>
      <c r="AD1236" s="153" t="str">
        <f t="shared" si="256"/>
        <v>Rye</v>
      </c>
      <c r="AE1236" s="46" t="s">
        <v>167</v>
      </c>
      <c r="AJ1236" s="46" t="s">
        <v>289</v>
      </c>
      <c r="AK1236" s="46" t="s">
        <v>289</v>
      </c>
      <c r="AL1236" s="46" t="s">
        <v>230</v>
      </c>
      <c r="AP1236" s="46" t="s">
        <v>154</v>
      </c>
      <c r="AQ1236" s="46">
        <v>4</v>
      </c>
      <c r="AR1236" s="46">
        <v>4</v>
      </c>
      <c r="AS1236" s="46" t="s">
        <v>404</v>
      </c>
      <c r="BK1236" s="46">
        <v>9.94</v>
      </c>
      <c r="BL1236" s="46">
        <v>13.11</v>
      </c>
      <c r="BM1236" s="46" t="s">
        <v>1082</v>
      </c>
      <c r="FC1236" s="46">
        <v>58</v>
      </c>
    </row>
    <row r="1237" spans="1:159" x14ac:dyDescent="0.25">
      <c r="A1237" s="46">
        <v>58</v>
      </c>
      <c r="B1237" s="46" t="s">
        <v>1054</v>
      </c>
      <c r="C1237" s="46" t="s">
        <v>1055</v>
      </c>
      <c r="D1237" s="46">
        <v>1990</v>
      </c>
      <c r="E1237" s="46">
        <v>1987</v>
      </c>
      <c r="F1237" s="46" t="s">
        <v>1056</v>
      </c>
      <c r="G1237" s="46" t="s">
        <v>1083</v>
      </c>
      <c r="H1237" s="46">
        <v>38.92</v>
      </c>
      <c r="I1237" s="46">
        <v>-76.150000000000006</v>
      </c>
      <c r="J1237" s="46">
        <v>5</v>
      </c>
      <c r="M1237" s="46">
        <v>836</v>
      </c>
      <c r="P1237" s="81" t="s">
        <v>179</v>
      </c>
      <c r="Q1237" s="46" t="s">
        <v>1057</v>
      </c>
      <c r="R1237" s="81" t="s">
        <v>1076</v>
      </c>
      <c r="S1237" s="81" t="s">
        <v>1654</v>
      </c>
      <c r="T1237" s="81" t="s">
        <v>1654</v>
      </c>
      <c r="U1237" s="46">
        <v>1.5</v>
      </c>
      <c r="X1237" s="46" t="s">
        <v>168</v>
      </c>
      <c r="AB1237" s="46" t="s">
        <v>1585</v>
      </c>
      <c r="AC1237" s="46" t="s">
        <v>166</v>
      </c>
      <c r="AD1237" s="153" t="str">
        <f t="shared" si="256"/>
        <v>Rye</v>
      </c>
      <c r="AE1237" s="46" t="s">
        <v>167</v>
      </c>
      <c r="AJ1237" s="46" t="s">
        <v>289</v>
      </c>
      <c r="AK1237" s="46" t="s">
        <v>289</v>
      </c>
      <c r="AL1237" s="46" t="s">
        <v>230</v>
      </c>
      <c r="AP1237" s="46" t="s">
        <v>154</v>
      </c>
      <c r="AQ1237" s="46">
        <v>4</v>
      </c>
      <c r="AR1237" s="46">
        <v>4</v>
      </c>
      <c r="AS1237" s="46" t="s">
        <v>404</v>
      </c>
      <c r="BK1237" s="46">
        <v>1.44</v>
      </c>
      <c r="BL1237" s="46">
        <v>7.28</v>
      </c>
      <c r="BM1237" s="46" t="s">
        <v>1082</v>
      </c>
      <c r="FC1237" s="46">
        <v>58</v>
      </c>
    </row>
    <row r="1238" spans="1:159" x14ac:dyDescent="0.25">
      <c r="A1238" s="46">
        <v>58</v>
      </c>
      <c r="B1238" s="46" t="s">
        <v>1054</v>
      </c>
      <c r="C1238" s="46" t="s">
        <v>1055</v>
      </c>
      <c r="D1238" s="46">
        <v>1990</v>
      </c>
      <c r="E1238" s="46">
        <v>1988</v>
      </c>
      <c r="F1238" s="46" t="s">
        <v>1056</v>
      </c>
      <c r="G1238" s="46" t="s">
        <v>1083</v>
      </c>
      <c r="H1238" s="46">
        <v>38.92</v>
      </c>
      <c r="I1238" s="46">
        <v>-76.150000000000006</v>
      </c>
      <c r="J1238" s="46">
        <v>5</v>
      </c>
      <c r="M1238" s="46">
        <v>836</v>
      </c>
      <c r="P1238" s="81" t="s">
        <v>180</v>
      </c>
      <c r="Q1238" s="46" t="s">
        <v>1057</v>
      </c>
      <c r="R1238" s="81" t="s">
        <v>1077</v>
      </c>
      <c r="S1238" s="81" t="s">
        <v>1654</v>
      </c>
      <c r="T1238" s="81" t="s">
        <v>1654</v>
      </c>
      <c r="U1238" s="46">
        <v>1.5</v>
      </c>
      <c r="X1238" s="46" t="s">
        <v>168</v>
      </c>
      <c r="AB1238" s="46" t="s">
        <v>1585</v>
      </c>
      <c r="AC1238" s="46" t="s">
        <v>166</v>
      </c>
      <c r="AD1238" s="153" t="str">
        <f t="shared" si="256"/>
        <v>Rye</v>
      </c>
      <c r="AE1238" s="46" t="s">
        <v>167</v>
      </c>
      <c r="AJ1238" s="46" t="s">
        <v>289</v>
      </c>
      <c r="AK1238" s="46" t="s">
        <v>289</v>
      </c>
      <c r="AL1238" s="46" t="s">
        <v>230</v>
      </c>
      <c r="AP1238" s="46" t="s">
        <v>154</v>
      </c>
      <c r="AQ1238" s="46">
        <v>4</v>
      </c>
      <c r="AR1238" s="46">
        <v>4</v>
      </c>
      <c r="AS1238" s="46" t="s">
        <v>404</v>
      </c>
      <c r="BK1238" s="46">
        <v>1.75</v>
      </c>
      <c r="BL1238" s="46">
        <v>3.6</v>
      </c>
      <c r="BM1238" s="46" t="s">
        <v>1082</v>
      </c>
      <c r="FC1238" s="46">
        <v>58</v>
      </c>
    </row>
    <row r="1239" spans="1:159" x14ac:dyDescent="0.25">
      <c r="A1239" s="46">
        <v>58</v>
      </c>
      <c r="B1239" s="46" t="s">
        <v>1054</v>
      </c>
      <c r="C1239" s="46" t="s">
        <v>1055</v>
      </c>
      <c r="D1239" s="46">
        <v>1990</v>
      </c>
      <c r="E1239" s="46">
        <v>1988</v>
      </c>
      <c r="F1239" s="46" t="s">
        <v>1056</v>
      </c>
      <c r="G1239" s="46" t="s">
        <v>1083</v>
      </c>
      <c r="H1239" s="46">
        <v>38.92</v>
      </c>
      <c r="I1239" s="46">
        <v>-76.150000000000006</v>
      </c>
      <c r="J1239" s="46">
        <v>5</v>
      </c>
      <c r="M1239" s="46">
        <v>836</v>
      </c>
      <c r="P1239" s="81" t="s">
        <v>180</v>
      </c>
      <c r="Q1239" s="46" t="s">
        <v>1057</v>
      </c>
      <c r="R1239" s="81" t="s">
        <v>928</v>
      </c>
      <c r="S1239" s="81" t="s">
        <v>1654</v>
      </c>
      <c r="T1239" s="81" t="s">
        <v>1654</v>
      </c>
      <c r="U1239" s="46">
        <v>1.5</v>
      </c>
      <c r="X1239" s="46" t="s">
        <v>168</v>
      </c>
      <c r="AB1239" s="46" t="s">
        <v>1585</v>
      </c>
      <c r="AC1239" s="46" t="s">
        <v>166</v>
      </c>
      <c r="AD1239" s="153" t="str">
        <f t="shared" si="256"/>
        <v>Rye</v>
      </c>
      <c r="AE1239" s="46" t="s">
        <v>167</v>
      </c>
      <c r="AJ1239" s="46" t="s">
        <v>289</v>
      </c>
      <c r="AK1239" s="46" t="s">
        <v>289</v>
      </c>
      <c r="AL1239" s="46" t="s">
        <v>230</v>
      </c>
      <c r="AP1239" s="46" t="s">
        <v>154</v>
      </c>
      <c r="AQ1239" s="46">
        <v>4</v>
      </c>
      <c r="AR1239" s="46">
        <v>4</v>
      </c>
      <c r="AS1239" s="46" t="s">
        <v>404</v>
      </c>
      <c r="BK1239" s="46">
        <v>0.43</v>
      </c>
      <c r="BL1239" s="46">
        <v>0.74</v>
      </c>
      <c r="BM1239" s="46" t="s">
        <v>1082</v>
      </c>
      <c r="FC1239" s="46">
        <v>58</v>
      </c>
    </row>
    <row r="1240" spans="1:159" x14ac:dyDescent="0.25">
      <c r="A1240" s="46">
        <v>58</v>
      </c>
      <c r="B1240" s="46" t="s">
        <v>1054</v>
      </c>
      <c r="C1240" s="46" t="s">
        <v>1055</v>
      </c>
      <c r="D1240" s="46">
        <v>1990</v>
      </c>
      <c r="E1240" s="46">
        <v>1988</v>
      </c>
      <c r="F1240" s="46" t="s">
        <v>1056</v>
      </c>
      <c r="G1240" s="46" t="s">
        <v>1083</v>
      </c>
      <c r="H1240" s="46">
        <v>38.92</v>
      </c>
      <c r="I1240" s="46">
        <v>-76.150000000000006</v>
      </c>
      <c r="J1240" s="46">
        <v>5</v>
      </c>
      <c r="M1240" s="46">
        <v>836</v>
      </c>
      <c r="P1240" s="81" t="s">
        <v>180</v>
      </c>
      <c r="Q1240" s="46" t="s">
        <v>1057</v>
      </c>
      <c r="R1240" s="81" t="s">
        <v>1078</v>
      </c>
      <c r="S1240" s="81" t="s">
        <v>1654</v>
      </c>
      <c r="T1240" s="81" t="s">
        <v>1654</v>
      </c>
      <c r="U1240" s="46">
        <v>1.5</v>
      </c>
      <c r="X1240" s="46" t="s">
        <v>168</v>
      </c>
      <c r="AB1240" s="46" t="s">
        <v>1585</v>
      </c>
      <c r="AC1240" s="46" t="s">
        <v>166</v>
      </c>
      <c r="AD1240" s="153" t="str">
        <f t="shared" si="256"/>
        <v>Rye</v>
      </c>
      <c r="AE1240" s="46" t="s">
        <v>167</v>
      </c>
      <c r="AJ1240" s="46" t="s">
        <v>289</v>
      </c>
      <c r="AK1240" s="46" t="s">
        <v>289</v>
      </c>
      <c r="AL1240" s="46" t="s">
        <v>230</v>
      </c>
      <c r="AP1240" s="46" t="s">
        <v>154</v>
      </c>
      <c r="AQ1240" s="46">
        <v>4</v>
      </c>
      <c r="AR1240" s="46">
        <v>4</v>
      </c>
      <c r="AS1240" s="46" t="s">
        <v>404</v>
      </c>
      <c r="BK1240" s="46">
        <v>1.98</v>
      </c>
      <c r="BL1240" s="46">
        <v>9.15</v>
      </c>
      <c r="BM1240" s="46" t="s">
        <v>1082</v>
      </c>
      <c r="FC1240" s="46">
        <v>58</v>
      </c>
    </row>
    <row r="1241" spans="1:159" x14ac:dyDescent="0.25">
      <c r="A1241" s="46">
        <v>58</v>
      </c>
      <c r="B1241" s="46" t="s">
        <v>1054</v>
      </c>
      <c r="C1241" s="46" t="s">
        <v>1055</v>
      </c>
      <c r="D1241" s="46">
        <v>1990</v>
      </c>
      <c r="E1241" s="46">
        <v>1988</v>
      </c>
      <c r="F1241" s="46" t="s">
        <v>1056</v>
      </c>
      <c r="G1241" s="46" t="s">
        <v>1083</v>
      </c>
      <c r="H1241" s="46">
        <v>38.92</v>
      </c>
      <c r="I1241" s="46">
        <v>-76.150000000000006</v>
      </c>
      <c r="J1241" s="46">
        <v>5</v>
      </c>
      <c r="M1241" s="46">
        <v>836</v>
      </c>
      <c r="P1241" s="81" t="s">
        <v>180</v>
      </c>
      <c r="Q1241" s="46" t="s">
        <v>1057</v>
      </c>
      <c r="R1241" s="81" t="s">
        <v>1081</v>
      </c>
      <c r="S1241" s="81" t="s">
        <v>1654</v>
      </c>
      <c r="T1241" s="81" t="s">
        <v>1654</v>
      </c>
      <c r="U1241" s="46">
        <v>1.5</v>
      </c>
      <c r="X1241" s="46" t="s">
        <v>168</v>
      </c>
      <c r="AB1241" s="46" t="s">
        <v>1585</v>
      </c>
      <c r="AC1241" s="46" t="s">
        <v>166</v>
      </c>
      <c r="AD1241" s="153" t="str">
        <f t="shared" si="256"/>
        <v>Rye</v>
      </c>
      <c r="AE1241" s="46" t="s">
        <v>167</v>
      </c>
      <c r="AJ1241" s="46" t="s">
        <v>289</v>
      </c>
      <c r="AK1241" s="46" t="s">
        <v>289</v>
      </c>
      <c r="AL1241" s="46" t="s">
        <v>230</v>
      </c>
      <c r="AP1241" s="46" t="s">
        <v>154</v>
      </c>
      <c r="AQ1241" s="46">
        <v>4</v>
      </c>
      <c r="AR1241" s="46">
        <v>4</v>
      </c>
      <c r="AS1241" s="46" t="s">
        <v>404</v>
      </c>
      <c r="BK1241" s="46">
        <v>18.989999999999998</v>
      </c>
      <c r="BL1241" s="46">
        <v>31.89</v>
      </c>
      <c r="BM1241" s="46" t="s">
        <v>1082</v>
      </c>
      <c r="FC1241" s="46">
        <v>58</v>
      </c>
    </row>
    <row r="1242" spans="1:159" x14ac:dyDescent="0.25">
      <c r="A1242" s="46">
        <v>58</v>
      </c>
      <c r="B1242" s="46" t="s">
        <v>1054</v>
      </c>
      <c r="C1242" s="46" t="s">
        <v>1055</v>
      </c>
      <c r="D1242" s="46">
        <v>1990</v>
      </c>
      <c r="E1242" s="46">
        <v>1988</v>
      </c>
      <c r="F1242" s="46" t="s">
        <v>1056</v>
      </c>
      <c r="G1242" s="46" t="s">
        <v>1083</v>
      </c>
      <c r="H1242" s="46">
        <v>38.92</v>
      </c>
      <c r="I1242" s="46">
        <v>-76.150000000000006</v>
      </c>
      <c r="J1242" s="46">
        <v>5</v>
      </c>
      <c r="M1242" s="46">
        <v>836</v>
      </c>
      <c r="P1242" s="81" t="s">
        <v>180</v>
      </c>
      <c r="Q1242" s="46" t="s">
        <v>1057</v>
      </c>
      <c r="R1242" s="81" t="s">
        <v>1079</v>
      </c>
      <c r="S1242" s="81" t="s">
        <v>1654</v>
      </c>
      <c r="T1242" s="81" t="s">
        <v>1654</v>
      </c>
      <c r="U1242" s="46">
        <v>1.5</v>
      </c>
      <c r="X1242" s="46" t="s">
        <v>168</v>
      </c>
      <c r="AB1242" s="46" t="s">
        <v>1585</v>
      </c>
      <c r="AC1242" s="46" t="s">
        <v>166</v>
      </c>
      <c r="AD1242" s="153" t="str">
        <f t="shared" si="256"/>
        <v>Rye</v>
      </c>
      <c r="AE1242" s="46" t="s">
        <v>167</v>
      </c>
      <c r="AJ1242" s="46" t="s">
        <v>289</v>
      </c>
      <c r="AK1242" s="46" t="s">
        <v>289</v>
      </c>
      <c r="AL1242" s="46" t="s">
        <v>230</v>
      </c>
      <c r="AP1242" s="46" t="s">
        <v>154</v>
      </c>
      <c r="AQ1242" s="46">
        <v>4</v>
      </c>
      <c r="AR1242" s="46">
        <v>4</v>
      </c>
      <c r="AS1242" s="46" t="s">
        <v>404</v>
      </c>
      <c r="BK1242" s="46">
        <v>16.329999999999998</v>
      </c>
      <c r="BL1242" s="46">
        <v>36.200000000000003</v>
      </c>
      <c r="BM1242" s="46" t="s">
        <v>1082</v>
      </c>
      <c r="FC1242" s="46">
        <v>58</v>
      </c>
    </row>
    <row r="1243" spans="1:159" x14ac:dyDescent="0.25">
      <c r="A1243" s="46">
        <v>58</v>
      </c>
      <c r="B1243" s="46" t="s">
        <v>1054</v>
      </c>
      <c r="C1243" s="46" t="s">
        <v>1055</v>
      </c>
      <c r="D1243" s="46">
        <v>1990</v>
      </c>
      <c r="E1243" s="46">
        <v>1988</v>
      </c>
      <c r="F1243" s="46" t="s">
        <v>1056</v>
      </c>
      <c r="G1243" s="46" t="s">
        <v>1083</v>
      </c>
      <c r="H1243" s="46">
        <v>38.92</v>
      </c>
      <c r="I1243" s="46">
        <v>-76.150000000000006</v>
      </c>
      <c r="J1243" s="46">
        <v>5</v>
      </c>
      <c r="M1243" s="46">
        <v>836</v>
      </c>
      <c r="P1243" s="81" t="s">
        <v>180</v>
      </c>
      <c r="Q1243" s="46" t="s">
        <v>1057</v>
      </c>
      <c r="R1243" s="81" t="s">
        <v>1080</v>
      </c>
      <c r="S1243" s="81" t="s">
        <v>1654</v>
      </c>
      <c r="T1243" s="81" t="s">
        <v>1654</v>
      </c>
      <c r="U1243" s="46">
        <v>1.5</v>
      </c>
      <c r="X1243" s="46" t="s">
        <v>168</v>
      </c>
      <c r="AB1243" s="46" t="s">
        <v>1585</v>
      </c>
      <c r="AC1243" s="46" t="s">
        <v>166</v>
      </c>
      <c r="AD1243" s="153" t="str">
        <f t="shared" si="256"/>
        <v>Rye</v>
      </c>
      <c r="AE1243" s="46" t="s">
        <v>167</v>
      </c>
      <c r="AJ1243" s="46" t="s">
        <v>289</v>
      </c>
      <c r="AK1243" s="46" t="s">
        <v>289</v>
      </c>
      <c r="AL1243" s="46" t="s">
        <v>230</v>
      </c>
      <c r="AP1243" s="46" t="s">
        <v>154</v>
      </c>
      <c r="AQ1243" s="46">
        <v>4</v>
      </c>
      <c r="AR1243" s="46">
        <v>4</v>
      </c>
      <c r="AS1243" s="46" t="s">
        <v>404</v>
      </c>
      <c r="BK1243" s="46">
        <v>25.04</v>
      </c>
      <c r="BL1243" s="46">
        <v>47.06</v>
      </c>
      <c r="BM1243" s="46" t="s">
        <v>1082</v>
      </c>
      <c r="FC1243" s="46">
        <v>58</v>
      </c>
    </row>
    <row r="1244" spans="1:159" s="31" customFormat="1" x14ac:dyDescent="0.25">
      <c r="A1244" s="31">
        <v>58</v>
      </c>
      <c r="B1244" s="31" t="s">
        <v>1054</v>
      </c>
      <c r="C1244" s="31" t="s">
        <v>1055</v>
      </c>
      <c r="D1244" s="31">
        <v>1990</v>
      </c>
      <c r="E1244" s="31">
        <v>1987</v>
      </c>
      <c r="F1244" s="31" t="s">
        <v>1056</v>
      </c>
      <c r="G1244" s="31" t="s">
        <v>1083</v>
      </c>
      <c r="H1244" s="31">
        <v>38.92</v>
      </c>
      <c r="I1244" s="31">
        <v>-76.150000000000006</v>
      </c>
      <c r="J1244" s="31">
        <v>5</v>
      </c>
      <c r="M1244" s="31">
        <v>836</v>
      </c>
      <c r="P1244" s="56" t="s">
        <v>179</v>
      </c>
      <c r="Q1244" s="31" t="s">
        <v>1057</v>
      </c>
      <c r="R1244" s="56" t="s">
        <v>1076</v>
      </c>
      <c r="S1244" s="56" t="s">
        <v>1654</v>
      </c>
      <c r="T1244" s="56" t="s">
        <v>1654</v>
      </c>
      <c r="U1244" s="31">
        <v>1.5</v>
      </c>
      <c r="X1244" s="31" t="s">
        <v>168</v>
      </c>
      <c r="AB1244" s="31" t="s">
        <v>1585</v>
      </c>
      <c r="AC1244" s="31" t="s">
        <v>166</v>
      </c>
      <c r="AD1244" s="153" t="str">
        <f t="shared" si="256"/>
        <v>Rye</v>
      </c>
      <c r="AE1244" s="31" t="s">
        <v>167</v>
      </c>
      <c r="AJ1244" s="31" t="s">
        <v>203</v>
      </c>
      <c r="AK1244" s="31" t="s">
        <v>203</v>
      </c>
      <c r="AL1244" s="31" t="s">
        <v>230</v>
      </c>
      <c r="AP1244" s="31" t="s">
        <v>154</v>
      </c>
      <c r="AQ1244" s="31">
        <v>4</v>
      </c>
      <c r="AR1244" s="31">
        <v>4</v>
      </c>
      <c r="AS1244" s="31" t="s">
        <v>404</v>
      </c>
      <c r="BK1244" s="31">
        <v>38.520000000000003</v>
      </c>
      <c r="BL1244" s="31">
        <v>23.56</v>
      </c>
      <c r="BM1244" s="31" t="s">
        <v>1082</v>
      </c>
      <c r="FC1244" s="31">
        <v>58</v>
      </c>
    </row>
    <row r="1245" spans="1:159" s="31" customFormat="1" x14ac:dyDescent="0.25">
      <c r="A1245" s="31">
        <v>58</v>
      </c>
      <c r="B1245" s="31" t="s">
        <v>1054</v>
      </c>
      <c r="C1245" s="31" t="s">
        <v>1055</v>
      </c>
      <c r="D1245" s="31">
        <v>1990</v>
      </c>
      <c r="E1245" s="31">
        <v>1988</v>
      </c>
      <c r="F1245" s="31" t="s">
        <v>1056</v>
      </c>
      <c r="G1245" s="31" t="s">
        <v>1083</v>
      </c>
      <c r="H1245" s="31">
        <v>38.92</v>
      </c>
      <c r="I1245" s="31">
        <v>-76.150000000000006</v>
      </c>
      <c r="J1245" s="31">
        <v>5</v>
      </c>
      <c r="M1245" s="31">
        <v>836</v>
      </c>
      <c r="P1245" s="56" t="s">
        <v>180</v>
      </c>
      <c r="Q1245" s="31" t="s">
        <v>1057</v>
      </c>
      <c r="R1245" s="56" t="s">
        <v>1077</v>
      </c>
      <c r="S1245" s="56" t="s">
        <v>1654</v>
      </c>
      <c r="T1245" s="56" t="s">
        <v>1654</v>
      </c>
      <c r="U1245" s="31">
        <v>1.5</v>
      </c>
      <c r="X1245" s="31" t="s">
        <v>168</v>
      </c>
      <c r="AB1245" s="31" t="s">
        <v>1585</v>
      </c>
      <c r="AC1245" s="31" t="s">
        <v>166</v>
      </c>
      <c r="AD1245" s="153" t="str">
        <f t="shared" si="256"/>
        <v>Rye</v>
      </c>
      <c r="AE1245" s="31" t="s">
        <v>167</v>
      </c>
      <c r="AJ1245" s="31" t="s">
        <v>203</v>
      </c>
      <c r="AK1245" s="31" t="s">
        <v>203</v>
      </c>
      <c r="AL1245" s="31" t="s">
        <v>230</v>
      </c>
      <c r="AP1245" s="31" t="s">
        <v>154</v>
      </c>
      <c r="AQ1245" s="31">
        <v>4</v>
      </c>
      <c r="AR1245" s="31">
        <v>4</v>
      </c>
      <c r="AS1245" s="31" t="s">
        <v>404</v>
      </c>
      <c r="BK1245" s="31">
        <v>11.89</v>
      </c>
      <c r="BL1245" s="31">
        <v>6.27</v>
      </c>
      <c r="BM1245" s="31" t="s">
        <v>1082</v>
      </c>
      <c r="FC1245" s="31">
        <v>58</v>
      </c>
    </row>
    <row r="1246" spans="1:159" s="31" customFormat="1" x14ac:dyDescent="0.25">
      <c r="A1246" s="31">
        <v>58</v>
      </c>
      <c r="B1246" s="31" t="s">
        <v>1054</v>
      </c>
      <c r="C1246" s="31" t="s">
        <v>1055</v>
      </c>
      <c r="D1246" s="31">
        <v>1990</v>
      </c>
      <c r="E1246" s="31">
        <v>1988</v>
      </c>
      <c r="F1246" s="31" t="s">
        <v>1056</v>
      </c>
      <c r="G1246" s="31" t="s">
        <v>1083</v>
      </c>
      <c r="H1246" s="31">
        <v>38.92</v>
      </c>
      <c r="I1246" s="31">
        <v>-76.150000000000006</v>
      </c>
      <c r="J1246" s="31">
        <v>5</v>
      </c>
      <c r="M1246" s="31">
        <v>836</v>
      </c>
      <c r="P1246" s="56" t="s">
        <v>180</v>
      </c>
      <c r="Q1246" s="31" t="s">
        <v>1057</v>
      </c>
      <c r="R1246" s="56" t="s">
        <v>928</v>
      </c>
      <c r="S1246" s="56" t="s">
        <v>1654</v>
      </c>
      <c r="T1246" s="56" t="s">
        <v>1654</v>
      </c>
      <c r="U1246" s="31">
        <v>1.5</v>
      </c>
      <c r="X1246" s="31" t="s">
        <v>168</v>
      </c>
      <c r="AB1246" s="31" t="s">
        <v>1585</v>
      </c>
      <c r="AC1246" s="31" t="s">
        <v>166</v>
      </c>
      <c r="AD1246" s="153" t="str">
        <f t="shared" si="256"/>
        <v>Rye</v>
      </c>
      <c r="AE1246" s="31" t="s">
        <v>167</v>
      </c>
      <c r="AJ1246" s="31" t="s">
        <v>203</v>
      </c>
      <c r="AK1246" s="31" t="s">
        <v>203</v>
      </c>
      <c r="AL1246" s="31" t="s">
        <v>230</v>
      </c>
      <c r="AP1246" s="31" t="s">
        <v>154</v>
      </c>
      <c r="AQ1246" s="31">
        <v>4</v>
      </c>
      <c r="AR1246" s="31">
        <v>4</v>
      </c>
      <c r="AS1246" s="31" t="s">
        <v>404</v>
      </c>
      <c r="BK1246" s="31">
        <v>0.74</v>
      </c>
      <c r="BL1246" s="31">
        <v>2.48</v>
      </c>
      <c r="BM1246" s="31" t="s">
        <v>1082</v>
      </c>
      <c r="FC1246" s="31">
        <v>58</v>
      </c>
    </row>
    <row r="1247" spans="1:159" s="31" customFormat="1" x14ac:dyDescent="0.25">
      <c r="A1247" s="31">
        <v>58</v>
      </c>
      <c r="B1247" s="31" t="s">
        <v>1054</v>
      </c>
      <c r="C1247" s="31" t="s">
        <v>1055</v>
      </c>
      <c r="D1247" s="31">
        <v>1990</v>
      </c>
      <c r="E1247" s="31">
        <v>1988</v>
      </c>
      <c r="F1247" s="31" t="s">
        <v>1056</v>
      </c>
      <c r="G1247" s="31" t="s">
        <v>1083</v>
      </c>
      <c r="H1247" s="31">
        <v>38.92</v>
      </c>
      <c r="I1247" s="31">
        <v>-76.150000000000006</v>
      </c>
      <c r="J1247" s="31">
        <v>5</v>
      </c>
      <c r="M1247" s="31">
        <v>836</v>
      </c>
      <c r="P1247" s="56" t="s">
        <v>180</v>
      </c>
      <c r="Q1247" s="31" t="s">
        <v>1057</v>
      </c>
      <c r="R1247" s="56" t="s">
        <v>1078</v>
      </c>
      <c r="S1247" s="56" t="s">
        <v>1654</v>
      </c>
      <c r="T1247" s="56" t="s">
        <v>1654</v>
      </c>
      <c r="U1247" s="31">
        <v>1.5</v>
      </c>
      <c r="X1247" s="31" t="s">
        <v>168</v>
      </c>
      <c r="AB1247" s="31" t="s">
        <v>1585</v>
      </c>
      <c r="AC1247" s="31" t="s">
        <v>166</v>
      </c>
      <c r="AD1247" s="153" t="str">
        <f t="shared" si="256"/>
        <v>Rye</v>
      </c>
      <c r="AE1247" s="31" t="s">
        <v>167</v>
      </c>
      <c r="AJ1247" s="31" t="s">
        <v>203</v>
      </c>
      <c r="AK1247" s="31" t="s">
        <v>203</v>
      </c>
      <c r="AL1247" s="31" t="s">
        <v>230</v>
      </c>
      <c r="AP1247" s="31" t="s">
        <v>154</v>
      </c>
      <c r="AQ1247" s="31">
        <v>4</v>
      </c>
      <c r="AR1247" s="31">
        <v>4</v>
      </c>
      <c r="AS1247" s="31" t="s">
        <v>404</v>
      </c>
      <c r="BK1247" s="31">
        <v>0.31</v>
      </c>
      <c r="BL1247" s="31">
        <v>13.04</v>
      </c>
      <c r="BM1247" s="31" t="s">
        <v>1082</v>
      </c>
      <c r="FC1247" s="31">
        <v>58</v>
      </c>
    </row>
    <row r="1248" spans="1:159" s="31" customFormat="1" x14ac:dyDescent="0.25">
      <c r="A1248" s="31">
        <v>58</v>
      </c>
      <c r="B1248" s="31" t="s">
        <v>1054</v>
      </c>
      <c r="C1248" s="31" t="s">
        <v>1055</v>
      </c>
      <c r="D1248" s="31">
        <v>1990</v>
      </c>
      <c r="E1248" s="31">
        <v>1988</v>
      </c>
      <c r="F1248" s="31" t="s">
        <v>1056</v>
      </c>
      <c r="G1248" s="31" t="s">
        <v>1083</v>
      </c>
      <c r="H1248" s="31">
        <v>38.92</v>
      </c>
      <c r="I1248" s="31">
        <v>-76.150000000000006</v>
      </c>
      <c r="J1248" s="31">
        <v>5</v>
      </c>
      <c r="M1248" s="31">
        <v>836</v>
      </c>
      <c r="P1248" s="56" t="s">
        <v>180</v>
      </c>
      <c r="Q1248" s="31" t="s">
        <v>1057</v>
      </c>
      <c r="R1248" s="56" t="s">
        <v>1081</v>
      </c>
      <c r="S1248" s="56" t="s">
        <v>1654</v>
      </c>
      <c r="T1248" s="56" t="s">
        <v>1654</v>
      </c>
      <c r="U1248" s="31">
        <v>1.5</v>
      </c>
      <c r="X1248" s="31" t="s">
        <v>168</v>
      </c>
      <c r="AB1248" s="31" t="s">
        <v>1585</v>
      </c>
      <c r="AC1248" s="31" t="s">
        <v>166</v>
      </c>
      <c r="AD1248" s="153" t="str">
        <f t="shared" si="256"/>
        <v>Rye</v>
      </c>
      <c r="AE1248" s="31" t="s">
        <v>167</v>
      </c>
      <c r="AJ1248" s="31" t="s">
        <v>203</v>
      </c>
      <c r="AK1248" s="31" t="s">
        <v>203</v>
      </c>
      <c r="AL1248" s="31" t="s">
        <v>230</v>
      </c>
      <c r="AP1248" s="31" t="s">
        <v>154</v>
      </c>
      <c r="AQ1248" s="31">
        <v>4</v>
      </c>
      <c r="AR1248" s="31">
        <v>4</v>
      </c>
      <c r="AS1248" s="31" t="s">
        <v>404</v>
      </c>
      <c r="BK1248" s="31">
        <v>18.89</v>
      </c>
      <c r="BL1248" s="31">
        <v>33.33</v>
      </c>
      <c r="BM1248" s="31" t="s">
        <v>1082</v>
      </c>
      <c r="FC1248" s="31">
        <v>58</v>
      </c>
    </row>
    <row r="1249" spans="1:159" s="31" customFormat="1" x14ac:dyDescent="0.25">
      <c r="A1249" s="31">
        <v>58</v>
      </c>
      <c r="B1249" s="31" t="s">
        <v>1054</v>
      </c>
      <c r="C1249" s="31" t="s">
        <v>1055</v>
      </c>
      <c r="D1249" s="31">
        <v>1990</v>
      </c>
      <c r="E1249" s="31">
        <v>1988</v>
      </c>
      <c r="F1249" s="31" t="s">
        <v>1056</v>
      </c>
      <c r="G1249" s="31" t="s">
        <v>1083</v>
      </c>
      <c r="H1249" s="31">
        <v>38.92</v>
      </c>
      <c r="I1249" s="31">
        <v>-76.150000000000006</v>
      </c>
      <c r="J1249" s="31">
        <v>5</v>
      </c>
      <c r="M1249" s="31">
        <v>836</v>
      </c>
      <c r="P1249" s="56" t="s">
        <v>180</v>
      </c>
      <c r="Q1249" s="31" t="s">
        <v>1057</v>
      </c>
      <c r="R1249" s="56" t="s">
        <v>1079</v>
      </c>
      <c r="S1249" s="56" t="s">
        <v>1654</v>
      </c>
      <c r="T1249" s="56" t="s">
        <v>1654</v>
      </c>
      <c r="U1249" s="31">
        <v>1.5</v>
      </c>
      <c r="X1249" s="31" t="s">
        <v>168</v>
      </c>
      <c r="AB1249" s="31" t="s">
        <v>1585</v>
      </c>
      <c r="AC1249" s="31" t="s">
        <v>166</v>
      </c>
      <c r="AD1249" s="153" t="str">
        <f t="shared" si="256"/>
        <v>Rye</v>
      </c>
      <c r="AE1249" s="31" t="s">
        <v>167</v>
      </c>
      <c r="AJ1249" s="31" t="s">
        <v>203</v>
      </c>
      <c r="AK1249" s="31" t="s">
        <v>203</v>
      </c>
      <c r="AL1249" s="31" t="s">
        <v>230</v>
      </c>
      <c r="AP1249" s="31" t="s">
        <v>154</v>
      </c>
      <c r="AQ1249" s="31">
        <v>4</v>
      </c>
      <c r="AR1249" s="31">
        <v>4</v>
      </c>
      <c r="AS1249" s="31" t="s">
        <v>404</v>
      </c>
      <c r="BK1249" s="31">
        <v>28.93</v>
      </c>
      <c r="BL1249" s="31">
        <v>28.93</v>
      </c>
      <c r="BM1249" s="31" t="s">
        <v>1082</v>
      </c>
      <c r="FC1249" s="31">
        <v>58</v>
      </c>
    </row>
    <row r="1250" spans="1:159" s="31" customFormat="1" x14ac:dyDescent="0.25">
      <c r="A1250" s="31">
        <v>58</v>
      </c>
      <c r="B1250" s="31" t="s">
        <v>1054</v>
      </c>
      <c r="C1250" s="31" t="s">
        <v>1055</v>
      </c>
      <c r="D1250" s="31">
        <v>1990</v>
      </c>
      <c r="E1250" s="31">
        <v>1988</v>
      </c>
      <c r="F1250" s="31" t="s">
        <v>1056</v>
      </c>
      <c r="G1250" s="31" t="s">
        <v>1083</v>
      </c>
      <c r="H1250" s="31">
        <v>38.92</v>
      </c>
      <c r="I1250" s="31">
        <v>-76.150000000000006</v>
      </c>
      <c r="J1250" s="31">
        <v>5</v>
      </c>
      <c r="M1250" s="31">
        <v>836</v>
      </c>
      <c r="P1250" s="56" t="s">
        <v>180</v>
      </c>
      <c r="Q1250" s="31" t="s">
        <v>1057</v>
      </c>
      <c r="R1250" s="56" t="s">
        <v>1080</v>
      </c>
      <c r="S1250" s="56" t="s">
        <v>1654</v>
      </c>
      <c r="T1250" s="56" t="s">
        <v>1654</v>
      </c>
      <c r="U1250" s="31">
        <v>1.5</v>
      </c>
      <c r="X1250" s="31" t="s">
        <v>168</v>
      </c>
      <c r="AB1250" s="31" t="s">
        <v>1585</v>
      </c>
      <c r="AC1250" s="31" t="s">
        <v>166</v>
      </c>
      <c r="AD1250" s="153" t="str">
        <f t="shared" si="256"/>
        <v>Rye</v>
      </c>
      <c r="AE1250" s="31" t="s">
        <v>167</v>
      </c>
      <c r="AJ1250" s="31" t="s">
        <v>203</v>
      </c>
      <c r="AK1250" s="31" t="s">
        <v>203</v>
      </c>
      <c r="AL1250" s="31" t="s">
        <v>230</v>
      </c>
      <c r="AP1250" s="31" t="s">
        <v>154</v>
      </c>
      <c r="AQ1250" s="31">
        <v>4</v>
      </c>
      <c r="AR1250" s="31">
        <v>4</v>
      </c>
      <c r="AS1250" s="31" t="s">
        <v>404</v>
      </c>
      <c r="BK1250" s="31">
        <v>9.57</v>
      </c>
      <c r="BL1250" s="31">
        <v>64.98</v>
      </c>
      <c r="BM1250" s="31" t="s">
        <v>1082</v>
      </c>
      <c r="FC1250" s="31">
        <v>58</v>
      </c>
    </row>
    <row r="1251" spans="1:159" s="47" customFormat="1" x14ac:dyDescent="0.25">
      <c r="A1251" s="47">
        <v>59</v>
      </c>
      <c r="B1251" s="47" t="s">
        <v>1054</v>
      </c>
      <c r="C1251" s="47" t="s">
        <v>1055</v>
      </c>
      <c r="D1251" s="47">
        <v>1997</v>
      </c>
      <c r="E1251" s="47">
        <v>1990</v>
      </c>
      <c r="F1251" s="47" t="s">
        <v>1056</v>
      </c>
      <c r="G1251" s="47" t="s">
        <v>1083</v>
      </c>
      <c r="H1251" s="47">
        <v>38.92</v>
      </c>
      <c r="I1251" s="47">
        <v>-76.150000000000006</v>
      </c>
      <c r="J1251" s="47">
        <v>5</v>
      </c>
      <c r="M1251" s="47">
        <v>1007</v>
      </c>
      <c r="P1251" s="82" t="s">
        <v>182</v>
      </c>
      <c r="Q1251" s="82" t="s">
        <v>1057</v>
      </c>
      <c r="R1251" s="82"/>
      <c r="S1251" s="82" t="s">
        <v>1654</v>
      </c>
      <c r="T1251" s="82" t="s">
        <v>1682</v>
      </c>
      <c r="U1251" s="47">
        <v>1.5</v>
      </c>
      <c r="X1251" s="47" t="s">
        <v>168</v>
      </c>
      <c r="AB1251" s="47" t="s">
        <v>1585</v>
      </c>
      <c r="AC1251" s="47" t="s">
        <v>166</v>
      </c>
      <c r="AD1251" s="153" t="str">
        <f t="shared" si="256"/>
        <v>Rye</v>
      </c>
      <c r="AE1251" s="47" t="s">
        <v>167</v>
      </c>
      <c r="AJ1251" s="47" t="s">
        <v>203</v>
      </c>
      <c r="AK1251" s="47" t="s">
        <v>203</v>
      </c>
      <c r="AL1251" s="47" t="s">
        <v>230</v>
      </c>
      <c r="AM1251" s="47" t="s">
        <v>1085</v>
      </c>
      <c r="AN1251" s="47" t="s">
        <v>1085</v>
      </c>
      <c r="AO1251" s="47" t="s">
        <v>230</v>
      </c>
      <c r="AP1251" s="47" t="s">
        <v>154</v>
      </c>
      <c r="AQ1251" s="47">
        <v>4</v>
      </c>
      <c r="AR1251" s="47">
        <v>4</v>
      </c>
      <c r="AS1251" s="47" t="s">
        <v>404</v>
      </c>
      <c r="AU1251" s="47">
        <v>4048</v>
      </c>
      <c r="AV1251" s="47">
        <f>AU1251/85</f>
        <v>47.623529411764707</v>
      </c>
      <c r="AY1251" s="47">
        <v>8809</v>
      </c>
      <c r="AZ1251" s="47">
        <v>9447</v>
      </c>
      <c r="BA1251" s="47" t="s">
        <v>1084</v>
      </c>
      <c r="BB1251" s="47">
        <v>9483</v>
      </c>
      <c r="BC1251" s="47">
        <v>10049</v>
      </c>
      <c r="DA1251" s="47">
        <v>27</v>
      </c>
      <c r="DB1251" s="47">
        <v>1.5</v>
      </c>
      <c r="DC1251" s="99" t="s">
        <v>1090</v>
      </c>
      <c r="FC1251" s="47">
        <v>59</v>
      </c>
    </row>
    <row r="1252" spans="1:159" s="47" customFormat="1" x14ac:dyDescent="0.25">
      <c r="A1252" s="47">
        <v>59</v>
      </c>
      <c r="B1252" s="47" t="s">
        <v>1054</v>
      </c>
      <c r="C1252" s="47" t="s">
        <v>1055</v>
      </c>
      <c r="D1252" s="47">
        <v>1997</v>
      </c>
      <c r="E1252" s="47">
        <v>1991</v>
      </c>
      <c r="F1252" s="47" t="s">
        <v>1056</v>
      </c>
      <c r="G1252" s="47" t="s">
        <v>1083</v>
      </c>
      <c r="H1252" s="47">
        <v>38.92</v>
      </c>
      <c r="I1252" s="47">
        <v>-76.150000000000006</v>
      </c>
      <c r="J1252" s="47">
        <v>5</v>
      </c>
      <c r="M1252" s="47">
        <v>997</v>
      </c>
      <c r="P1252" s="82" t="s">
        <v>183</v>
      </c>
      <c r="Q1252" s="82" t="s">
        <v>1057</v>
      </c>
      <c r="R1252" s="82"/>
      <c r="S1252" s="82" t="s">
        <v>1654</v>
      </c>
      <c r="T1252" s="82" t="s">
        <v>1682</v>
      </c>
      <c r="U1252" s="47">
        <v>1.5</v>
      </c>
      <c r="X1252" s="47" t="s">
        <v>168</v>
      </c>
      <c r="AB1252" s="47" t="s">
        <v>1585</v>
      </c>
      <c r="AC1252" s="47" t="s">
        <v>166</v>
      </c>
      <c r="AD1252" s="153" t="str">
        <f t="shared" si="256"/>
        <v>Rye</v>
      </c>
      <c r="AE1252" s="47" t="s">
        <v>167</v>
      </c>
      <c r="AJ1252" s="47" t="s">
        <v>203</v>
      </c>
      <c r="AK1252" s="47" t="s">
        <v>203</v>
      </c>
      <c r="AL1252" s="47" t="s">
        <v>230</v>
      </c>
      <c r="AM1252" s="47" t="s">
        <v>1085</v>
      </c>
      <c r="AN1252" s="47" t="s">
        <v>1085</v>
      </c>
      <c r="AO1252" s="47" t="s">
        <v>230</v>
      </c>
      <c r="AP1252" s="47" t="s">
        <v>154</v>
      </c>
      <c r="AQ1252" s="47">
        <v>4</v>
      </c>
      <c r="AR1252" s="47">
        <v>4</v>
      </c>
      <c r="AS1252" s="47" t="s">
        <v>404</v>
      </c>
      <c r="AU1252" s="47">
        <v>1793</v>
      </c>
      <c r="AV1252" s="47">
        <f>AU1252/25.9</f>
        <v>69.227799227799238</v>
      </c>
      <c r="AY1252" s="47">
        <v>7462</v>
      </c>
      <c r="AZ1252" s="47">
        <v>8171</v>
      </c>
      <c r="BA1252" s="47" t="s">
        <v>1084</v>
      </c>
      <c r="BB1252" s="47">
        <v>9096</v>
      </c>
      <c r="BC1252" s="47">
        <v>9104</v>
      </c>
      <c r="DA1252" s="47">
        <v>25</v>
      </c>
      <c r="DB1252" s="47">
        <v>0.5</v>
      </c>
      <c r="DC1252" s="99" t="s">
        <v>1090</v>
      </c>
      <c r="FC1252" s="47">
        <v>59</v>
      </c>
    </row>
    <row r="1253" spans="1:159" s="47" customFormat="1" x14ac:dyDescent="0.25">
      <c r="A1253" s="47">
        <v>59</v>
      </c>
      <c r="B1253" s="47" t="s">
        <v>1054</v>
      </c>
      <c r="C1253" s="47" t="s">
        <v>1055</v>
      </c>
      <c r="D1253" s="47">
        <v>1997</v>
      </c>
      <c r="E1253" s="47">
        <v>1992</v>
      </c>
      <c r="F1253" s="47" t="s">
        <v>1056</v>
      </c>
      <c r="G1253" s="47" t="s">
        <v>1083</v>
      </c>
      <c r="H1253" s="47">
        <v>38.92</v>
      </c>
      <c r="I1253" s="47">
        <v>-76.150000000000006</v>
      </c>
      <c r="J1253" s="47">
        <v>5</v>
      </c>
      <c r="M1253" s="47">
        <v>866</v>
      </c>
      <c r="P1253" s="82" t="s">
        <v>200</v>
      </c>
      <c r="Q1253" s="82" t="s">
        <v>1057</v>
      </c>
      <c r="R1253" s="82"/>
      <c r="S1253" s="82" t="s">
        <v>1654</v>
      </c>
      <c r="T1253" s="82" t="s">
        <v>1682</v>
      </c>
      <c r="U1253" s="47">
        <v>1.5</v>
      </c>
      <c r="X1253" s="47" t="s">
        <v>168</v>
      </c>
      <c r="AB1253" s="47" t="s">
        <v>1585</v>
      </c>
      <c r="AC1253" s="47" t="s">
        <v>166</v>
      </c>
      <c r="AD1253" s="153" t="str">
        <f t="shared" si="256"/>
        <v>Rye</v>
      </c>
      <c r="AE1253" s="47" t="s">
        <v>167</v>
      </c>
      <c r="AJ1253" s="47" t="s">
        <v>203</v>
      </c>
      <c r="AK1253" s="47" t="s">
        <v>203</v>
      </c>
      <c r="AL1253" s="47" t="s">
        <v>230</v>
      </c>
      <c r="AM1253" s="47" t="s">
        <v>1085</v>
      </c>
      <c r="AN1253" s="47" t="s">
        <v>1085</v>
      </c>
      <c r="AO1253" s="47" t="s">
        <v>230</v>
      </c>
      <c r="AP1253" s="47" t="s">
        <v>154</v>
      </c>
      <c r="AQ1253" s="47">
        <v>4</v>
      </c>
      <c r="AR1253" s="47">
        <v>4</v>
      </c>
      <c r="AS1253" s="47" t="s">
        <v>404</v>
      </c>
      <c r="AU1253" s="47">
        <v>2053</v>
      </c>
      <c r="AV1253" s="47">
        <f>AU1253/40.5</f>
        <v>50.691358024691361</v>
      </c>
      <c r="AY1253" s="47">
        <v>8245</v>
      </c>
      <c r="AZ1253" s="47">
        <v>7689</v>
      </c>
      <c r="BA1253" s="47" t="s">
        <v>1084</v>
      </c>
      <c r="BB1253" s="47">
        <v>10898</v>
      </c>
      <c r="BC1253" s="47">
        <v>9920</v>
      </c>
      <c r="DA1253" s="47">
        <v>12</v>
      </c>
      <c r="DB1253" s="47">
        <v>0.8</v>
      </c>
      <c r="DC1253" s="99" t="s">
        <v>1090</v>
      </c>
      <c r="FC1253" s="47">
        <v>59</v>
      </c>
    </row>
    <row r="1254" spans="1:159" s="47" customFormat="1" x14ac:dyDescent="0.25">
      <c r="A1254" s="47">
        <v>59</v>
      </c>
      <c r="B1254" s="47" t="s">
        <v>1054</v>
      </c>
      <c r="C1254" s="47" t="s">
        <v>1055</v>
      </c>
      <c r="D1254" s="47">
        <v>1997</v>
      </c>
      <c r="E1254" s="47">
        <v>1993</v>
      </c>
      <c r="F1254" s="47" t="s">
        <v>1056</v>
      </c>
      <c r="G1254" s="47" t="s">
        <v>1083</v>
      </c>
      <c r="H1254" s="47">
        <v>38.92</v>
      </c>
      <c r="I1254" s="47">
        <v>-76.150000000000006</v>
      </c>
      <c r="J1254" s="47">
        <v>5</v>
      </c>
      <c r="M1254" s="47">
        <v>972</v>
      </c>
      <c r="P1254" s="82" t="s">
        <v>1022</v>
      </c>
      <c r="Q1254" s="82" t="s">
        <v>1057</v>
      </c>
      <c r="R1254" s="82"/>
      <c r="S1254" s="82" t="s">
        <v>1654</v>
      </c>
      <c r="T1254" s="82" t="s">
        <v>1682</v>
      </c>
      <c r="U1254" s="47">
        <v>1.5</v>
      </c>
      <c r="X1254" s="47" t="s">
        <v>168</v>
      </c>
      <c r="AB1254" s="47" t="s">
        <v>1585</v>
      </c>
      <c r="AC1254" s="47" t="s">
        <v>166</v>
      </c>
      <c r="AD1254" s="153" t="str">
        <f t="shared" si="256"/>
        <v>Rye</v>
      </c>
      <c r="AE1254" s="47" t="s">
        <v>167</v>
      </c>
      <c r="AJ1254" s="47" t="s">
        <v>203</v>
      </c>
      <c r="AK1254" s="47" t="s">
        <v>203</v>
      </c>
      <c r="AL1254" s="47" t="s">
        <v>230</v>
      </c>
      <c r="AM1254" s="47" t="s">
        <v>1085</v>
      </c>
      <c r="AN1254" s="47" t="s">
        <v>1085</v>
      </c>
      <c r="AO1254" s="47" t="s">
        <v>230</v>
      </c>
      <c r="AP1254" s="47" t="s">
        <v>154</v>
      </c>
      <c r="AQ1254" s="47">
        <v>4</v>
      </c>
      <c r="AR1254" s="47">
        <v>4</v>
      </c>
      <c r="AS1254" s="47" t="s">
        <v>404</v>
      </c>
      <c r="AU1254" s="47">
        <v>1873</v>
      </c>
      <c r="AV1254" s="47">
        <f>AU1254/37.3</f>
        <v>50.21447721179625</v>
      </c>
      <c r="AY1254" s="47">
        <v>7455</v>
      </c>
      <c r="AZ1254" s="47">
        <v>8732</v>
      </c>
      <c r="BA1254" s="47" t="s">
        <v>1084</v>
      </c>
      <c r="BB1254" s="47">
        <v>7421</v>
      </c>
      <c r="BC1254" s="47">
        <v>8586</v>
      </c>
      <c r="DA1254" s="47">
        <v>9</v>
      </c>
      <c r="DB1254" s="47">
        <v>2.2999999999999998</v>
      </c>
      <c r="DC1254" s="99" t="s">
        <v>1090</v>
      </c>
      <c r="FC1254" s="47">
        <v>59</v>
      </c>
    </row>
    <row r="1255" spans="1:159" s="47" customFormat="1" x14ac:dyDescent="0.25">
      <c r="A1255" s="47">
        <v>59</v>
      </c>
      <c r="B1255" s="47" t="s">
        <v>1054</v>
      </c>
      <c r="C1255" s="47" t="s">
        <v>1055</v>
      </c>
      <c r="D1255" s="47">
        <v>1997</v>
      </c>
      <c r="E1255" s="47">
        <v>1994</v>
      </c>
      <c r="F1255" s="47" t="s">
        <v>1056</v>
      </c>
      <c r="G1255" s="47" t="s">
        <v>1083</v>
      </c>
      <c r="H1255" s="47">
        <v>38.92</v>
      </c>
      <c r="I1255" s="47">
        <v>-76.150000000000006</v>
      </c>
      <c r="J1255" s="47">
        <v>5</v>
      </c>
      <c r="M1255" s="47">
        <v>1275</v>
      </c>
      <c r="P1255" s="82" t="s">
        <v>1023</v>
      </c>
      <c r="Q1255" s="82" t="s">
        <v>1057</v>
      </c>
      <c r="R1255" s="82"/>
      <c r="S1255" s="82" t="s">
        <v>1654</v>
      </c>
      <c r="T1255" s="82" t="s">
        <v>1682</v>
      </c>
      <c r="U1255" s="47">
        <v>1.5</v>
      </c>
      <c r="X1255" s="47" t="s">
        <v>168</v>
      </c>
      <c r="AB1255" s="47" t="s">
        <v>1585</v>
      </c>
      <c r="AC1255" s="47" t="s">
        <v>166</v>
      </c>
      <c r="AD1255" s="153" t="str">
        <f t="shared" si="256"/>
        <v>Rye</v>
      </c>
      <c r="AE1255" s="47" t="s">
        <v>167</v>
      </c>
      <c r="AJ1255" s="47" t="s">
        <v>203</v>
      </c>
      <c r="AK1255" s="47" t="s">
        <v>203</v>
      </c>
      <c r="AL1255" s="47" t="s">
        <v>230</v>
      </c>
      <c r="AM1255" s="47" t="s">
        <v>1085</v>
      </c>
      <c r="AN1255" s="47" t="s">
        <v>1085</v>
      </c>
      <c r="AO1255" s="47" t="s">
        <v>230</v>
      </c>
      <c r="AP1255" s="47" t="s">
        <v>154</v>
      </c>
      <c r="AQ1255" s="47">
        <v>4</v>
      </c>
      <c r="AR1255" s="47">
        <v>4</v>
      </c>
      <c r="AS1255" s="47" t="s">
        <v>404</v>
      </c>
      <c r="AU1255" s="47">
        <v>3645</v>
      </c>
      <c r="AV1255" s="47">
        <f>AU1255/59.2</f>
        <v>61.570945945945944</v>
      </c>
      <c r="AY1255" s="47">
        <v>9114</v>
      </c>
      <c r="AZ1255" s="47">
        <v>9261</v>
      </c>
      <c r="BA1255" s="47" t="s">
        <v>1084</v>
      </c>
      <c r="BB1255" s="47">
        <v>10036</v>
      </c>
      <c r="BC1255" s="47">
        <v>10042</v>
      </c>
      <c r="DA1255" s="47">
        <v>11</v>
      </c>
      <c r="DB1255" s="47">
        <v>1.4</v>
      </c>
      <c r="DC1255" s="99" t="s">
        <v>1090</v>
      </c>
      <c r="FC1255" s="47">
        <v>59</v>
      </c>
    </row>
    <row r="1256" spans="1:159" s="47" customFormat="1" x14ac:dyDescent="0.25">
      <c r="A1256" s="47">
        <v>59</v>
      </c>
      <c r="B1256" s="47" t="s">
        <v>1054</v>
      </c>
      <c r="C1256" s="47" t="s">
        <v>1055</v>
      </c>
      <c r="D1256" s="47">
        <v>1997</v>
      </c>
      <c r="E1256" s="47">
        <v>1995</v>
      </c>
      <c r="F1256" s="47" t="s">
        <v>1056</v>
      </c>
      <c r="G1256" s="47" t="s">
        <v>1083</v>
      </c>
      <c r="H1256" s="47">
        <v>38.92</v>
      </c>
      <c r="I1256" s="47">
        <v>-76.150000000000006</v>
      </c>
      <c r="J1256" s="47">
        <v>5</v>
      </c>
      <c r="M1256" s="47">
        <v>755</v>
      </c>
      <c r="P1256" s="82" t="s">
        <v>1024</v>
      </c>
      <c r="Q1256" s="82" t="s">
        <v>1057</v>
      </c>
      <c r="R1256" s="82"/>
      <c r="S1256" s="82" t="s">
        <v>1654</v>
      </c>
      <c r="T1256" s="82" t="s">
        <v>1682</v>
      </c>
      <c r="U1256" s="47">
        <v>1.5</v>
      </c>
      <c r="X1256" s="47" t="s">
        <v>168</v>
      </c>
      <c r="AB1256" s="47" t="s">
        <v>1585</v>
      </c>
      <c r="AC1256" s="47" t="s">
        <v>166</v>
      </c>
      <c r="AD1256" s="153" t="str">
        <f t="shared" si="256"/>
        <v>Rye</v>
      </c>
      <c r="AE1256" s="47" t="s">
        <v>167</v>
      </c>
      <c r="AJ1256" s="47" t="s">
        <v>203</v>
      </c>
      <c r="AK1256" s="47" t="s">
        <v>203</v>
      </c>
      <c r="AL1256" s="47" t="s">
        <v>230</v>
      </c>
      <c r="AM1256" s="47" t="s">
        <v>1085</v>
      </c>
      <c r="AN1256" s="47" t="s">
        <v>1085</v>
      </c>
      <c r="AO1256" s="47" t="s">
        <v>230</v>
      </c>
      <c r="AP1256" s="47" t="s">
        <v>154</v>
      </c>
      <c r="AQ1256" s="47">
        <v>4</v>
      </c>
      <c r="AR1256" s="47">
        <v>4</v>
      </c>
      <c r="AS1256" s="47" t="s">
        <v>404</v>
      </c>
      <c r="AY1256" s="47">
        <v>8474</v>
      </c>
      <c r="AZ1256" s="47">
        <v>7822</v>
      </c>
      <c r="BA1256" s="47" t="s">
        <v>1084</v>
      </c>
      <c r="BB1256" s="47">
        <v>8978</v>
      </c>
      <c r="BC1256" s="47">
        <v>8372</v>
      </c>
      <c r="DA1256" s="47">
        <v>13</v>
      </c>
      <c r="DB1256" s="47">
        <v>0.9</v>
      </c>
      <c r="DC1256" s="99" t="s">
        <v>1090</v>
      </c>
      <c r="FC1256" s="47">
        <v>59</v>
      </c>
    </row>
    <row r="1257" spans="1:159" s="26" customFormat="1" x14ac:dyDescent="0.25">
      <c r="A1257" s="26">
        <v>59</v>
      </c>
      <c r="B1257" s="26" t="s">
        <v>1054</v>
      </c>
      <c r="C1257" s="26" t="s">
        <v>1055</v>
      </c>
      <c r="D1257" s="26">
        <v>1997</v>
      </c>
      <c r="E1257" s="26">
        <v>1991</v>
      </c>
      <c r="F1257" s="26" t="s">
        <v>1056</v>
      </c>
      <c r="G1257" s="26" t="s">
        <v>1083</v>
      </c>
      <c r="H1257" s="26">
        <v>38.92</v>
      </c>
      <c r="I1257" s="26">
        <v>-76.150000000000006</v>
      </c>
      <c r="J1257" s="26">
        <v>5</v>
      </c>
      <c r="M1257" s="26">
        <v>997</v>
      </c>
      <c r="P1257" s="52" t="s">
        <v>183</v>
      </c>
      <c r="Q1257" s="52" t="s">
        <v>1057</v>
      </c>
      <c r="R1257" s="52"/>
      <c r="S1257" s="52" t="s">
        <v>1654</v>
      </c>
      <c r="T1257" s="52" t="s">
        <v>1682</v>
      </c>
      <c r="U1257" s="26">
        <v>1.5</v>
      </c>
      <c r="X1257" s="26" t="s">
        <v>168</v>
      </c>
      <c r="AB1257" s="26" t="s">
        <v>1585</v>
      </c>
      <c r="AC1257" s="26" t="s">
        <v>166</v>
      </c>
      <c r="AD1257" s="153" t="str">
        <f t="shared" si="256"/>
        <v>Rye</v>
      </c>
      <c r="AE1257" s="26" t="s">
        <v>167</v>
      </c>
      <c r="AJ1257" s="26" t="s">
        <v>203</v>
      </c>
      <c r="AK1257" s="26" t="s">
        <v>203</v>
      </c>
      <c r="AL1257" s="26" t="s">
        <v>230</v>
      </c>
      <c r="AM1257" s="26" t="s">
        <v>1085</v>
      </c>
      <c r="AN1257" s="26" t="s">
        <v>1085</v>
      </c>
      <c r="AO1257" s="26" t="s">
        <v>230</v>
      </c>
      <c r="AP1257" s="26" t="s">
        <v>154</v>
      </c>
      <c r="AQ1257" s="26">
        <v>4</v>
      </c>
      <c r="AR1257" s="26">
        <v>4</v>
      </c>
      <c r="AS1257" s="26" t="s">
        <v>404</v>
      </c>
      <c r="AU1257" s="26">
        <v>1793</v>
      </c>
      <c r="AV1257" s="26">
        <v>69.227799227799238</v>
      </c>
      <c r="DA1257" s="26">
        <v>27.32</v>
      </c>
      <c r="DB1257" s="26">
        <v>1.46</v>
      </c>
      <c r="DC1257" s="26" t="s">
        <v>1090</v>
      </c>
      <c r="FC1257" s="26">
        <v>59</v>
      </c>
    </row>
    <row r="1258" spans="1:159" s="26" customFormat="1" x14ac:dyDescent="0.25">
      <c r="A1258" s="26">
        <v>59</v>
      </c>
      <c r="B1258" s="26" t="s">
        <v>1054</v>
      </c>
      <c r="C1258" s="26" t="s">
        <v>1055</v>
      </c>
      <c r="D1258" s="26">
        <v>1997</v>
      </c>
      <c r="E1258" s="26">
        <v>1991</v>
      </c>
      <c r="F1258" s="26" t="s">
        <v>1056</v>
      </c>
      <c r="G1258" s="26" t="s">
        <v>1083</v>
      </c>
      <c r="H1258" s="26">
        <v>38.92</v>
      </c>
      <c r="I1258" s="26">
        <v>-76.150000000000006</v>
      </c>
      <c r="J1258" s="26">
        <v>5</v>
      </c>
      <c r="M1258" s="26">
        <v>997</v>
      </c>
      <c r="P1258" s="52" t="s">
        <v>183</v>
      </c>
      <c r="Q1258" s="52" t="s">
        <v>1057</v>
      </c>
      <c r="R1258" s="52"/>
      <c r="S1258" s="52" t="s">
        <v>1654</v>
      </c>
      <c r="T1258" s="52" t="s">
        <v>1682</v>
      </c>
      <c r="U1258" s="26">
        <v>1.5</v>
      </c>
      <c r="X1258" s="26" t="s">
        <v>168</v>
      </c>
      <c r="AB1258" s="26" t="s">
        <v>1585</v>
      </c>
      <c r="AC1258" s="26" t="s">
        <v>166</v>
      </c>
      <c r="AD1258" s="153" t="str">
        <f t="shared" si="256"/>
        <v>Rye</v>
      </c>
      <c r="AE1258" s="26" t="s">
        <v>167</v>
      </c>
      <c r="AJ1258" s="26" t="s">
        <v>203</v>
      </c>
      <c r="AK1258" s="26" t="s">
        <v>203</v>
      </c>
      <c r="AL1258" s="26" t="s">
        <v>230</v>
      </c>
      <c r="AM1258" s="26" t="s">
        <v>1085</v>
      </c>
      <c r="AN1258" s="26" t="s">
        <v>1085</v>
      </c>
      <c r="AO1258" s="26" t="s">
        <v>230</v>
      </c>
      <c r="AP1258" s="26" t="s">
        <v>154</v>
      </c>
      <c r="AQ1258" s="26">
        <v>4</v>
      </c>
      <c r="AR1258" s="26">
        <v>4</v>
      </c>
      <c r="AS1258" s="26" t="s">
        <v>404</v>
      </c>
      <c r="AU1258" s="26">
        <v>1793</v>
      </c>
      <c r="AV1258" s="26">
        <v>69.227799227799238</v>
      </c>
      <c r="DA1258" s="26">
        <v>20.79</v>
      </c>
      <c r="DB1258" s="26">
        <v>0.73</v>
      </c>
      <c r="DC1258" s="26" t="s">
        <v>1090</v>
      </c>
      <c r="FC1258" s="26">
        <v>59</v>
      </c>
    </row>
    <row r="1259" spans="1:159" s="26" customFormat="1" x14ac:dyDescent="0.25">
      <c r="A1259" s="26">
        <v>59</v>
      </c>
      <c r="B1259" s="26" t="s">
        <v>1054</v>
      </c>
      <c r="C1259" s="26" t="s">
        <v>1055</v>
      </c>
      <c r="D1259" s="26">
        <v>1997</v>
      </c>
      <c r="E1259" s="26">
        <v>1991</v>
      </c>
      <c r="F1259" s="26" t="s">
        <v>1056</v>
      </c>
      <c r="G1259" s="26" t="s">
        <v>1083</v>
      </c>
      <c r="H1259" s="26">
        <v>38.92</v>
      </c>
      <c r="I1259" s="26">
        <v>-76.150000000000006</v>
      </c>
      <c r="J1259" s="26">
        <v>5</v>
      </c>
      <c r="M1259" s="26">
        <v>997</v>
      </c>
      <c r="P1259" s="52" t="s">
        <v>183</v>
      </c>
      <c r="Q1259" s="52" t="s">
        <v>1057</v>
      </c>
      <c r="R1259" s="52"/>
      <c r="S1259" s="52" t="s">
        <v>1654</v>
      </c>
      <c r="T1259" s="52" t="s">
        <v>1682</v>
      </c>
      <c r="U1259" s="26">
        <v>1.5</v>
      </c>
      <c r="X1259" s="26" t="s">
        <v>168</v>
      </c>
      <c r="AB1259" s="26" t="s">
        <v>1585</v>
      </c>
      <c r="AC1259" s="26" t="s">
        <v>166</v>
      </c>
      <c r="AD1259" s="153" t="str">
        <f t="shared" si="256"/>
        <v>Rye</v>
      </c>
      <c r="AE1259" s="26" t="s">
        <v>167</v>
      </c>
      <c r="AJ1259" s="26" t="s">
        <v>203</v>
      </c>
      <c r="AK1259" s="26" t="s">
        <v>203</v>
      </c>
      <c r="AL1259" s="26" t="s">
        <v>230</v>
      </c>
      <c r="AM1259" s="26" t="s">
        <v>1085</v>
      </c>
      <c r="AN1259" s="26" t="s">
        <v>1085</v>
      </c>
      <c r="AO1259" s="26" t="s">
        <v>230</v>
      </c>
      <c r="AP1259" s="26" t="s">
        <v>154</v>
      </c>
      <c r="AQ1259" s="26">
        <v>4</v>
      </c>
      <c r="AR1259" s="26">
        <v>4</v>
      </c>
      <c r="AS1259" s="26" t="s">
        <v>404</v>
      </c>
      <c r="AU1259" s="26">
        <v>1793</v>
      </c>
      <c r="AV1259" s="26">
        <v>69.227799227799238</v>
      </c>
      <c r="DA1259" s="26">
        <v>26.89</v>
      </c>
      <c r="DB1259" s="26">
        <v>0.2</v>
      </c>
      <c r="DC1259" s="26" t="s">
        <v>1090</v>
      </c>
      <c r="FC1259" s="26">
        <v>59</v>
      </c>
    </row>
    <row r="1260" spans="1:159" s="26" customFormat="1" x14ac:dyDescent="0.25">
      <c r="A1260" s="26">
        <v>59</v>
      </c>
      <c r="B1260" s="26" t="s">
        <v>1054</v>
      </c>
      <c r="C1260" s="26" t="s">
        <v>1055</v>
      </c>
      <c r="D1260" s="26">
        <v>1997</v>
      </c>
      <c r="E1260" s="26">
        <v>1991</v>
      </c>
      <c r="F1260" s="26" t="s">
        <v>1056</v>
      </c>
      <c r="G1260" s="26" t="s">
        <v>1083</v>
      </c>
      <c r="H1260" s="26">
        <v>38.92</v>
      </c>
      <c r="I1260" s="26">
        <v>-76.150000000000006</v>
      </c>
      <c r="J1260" s="26">
        <v>5</v>
      </c>
      <c r="M1260" s="26">
        <v>997</v>
      </c>
      <c r="P1260" s="52" t="s">
        <v>183</v>
      </c>
      <c r="Q1260" s="52" t="s">
        <v>1057</v>
      </c>
      <c r="R1260" s="52"/>
      <c r="S1260" s="52" t="s">
        <v>1654</v>
      </c>
      <c r="T1260" s="52" t="s">
        <v>1682</v>
      </c>
      <c r="U1260" s="26">
        <v>1.5</v>
      </c>
      <c r="X1260" s="26" t="s">
        <v>168</v>
      </c>
      <c r="AB1260" s="26" t="s">
        <v>1585</v>
      </c>
      <c r="AC1260" s="26" t="s">
        <v>166</v>
      </c>
      <c r="AD1260" s="153" t="str">
        <f t="shared" si="256"/>
        <v>Rye</v>
      </c>
      <c r="AE1260" s="26" t="s">
        <v>167</v>
      </c>
      <c r="AJ1260" s="26" t="s">
        <v>203</v>
      </c>
      <c r="AK1260" s="26" t="s">
        <v>203</v>
      </c>
      <c r="AL1260" s="26" t="s">
        <v>230</v>
      </c>
      <c r="AM1260" s="26" t="s">
        <v>1085</v>
      </c>
      <c r="AN1260" s="26" t="s">
        <v>1085</v>
      </c>
      <c r="AO1260" s="26" t="s">
        <v>230</v>
      </c>
      <c r="AP1260" s="26" t="s">
        <v>154</v>
      </c>
      <c r="AQ1260" s="26">
        <v>4</v>
      </c>
      <c r="AR1260" s="26">
        <v>4</v>
      </c>
      <c r="AS1260" s="26" t="s">
        <v>404</v>
      </c>
      <c r="AU1260" s="26">
        <v>1793</v>
      </c>
      <c r="AV1260" s="26">
        <v>69.227799227799238</v>
      </c>
      <c r="DA1260" s="26">
        <v>27.33</v>
      </c>
      <c r="DB1260" s="26">
        <v>1.7000000000000001E-2</v>
      </c>
      <c r="DC1260" s="26" t="s">
        <v>1090</v>
      </c>
      <c r="FC1260" s="26">
        <v>59</v>
      </c>
    </row>
    <row r="1261" spans="1:159" s="26" customFormat="1" x14ac:dyDescent="0.25">
      <c r="A1261" s="26">
        <v>59</v>
      </c>
      <c r="B1261" s="26" t="s">
        <v>1054</v>
      </c>
      <c r="C1261" s="26" t="s">
        <v>1055</v>
      </c>
      <c r="D1261" s="26">
        <v>1997</v>
      </c>
      <c r="E1261" s="26">
        <v>1991</v>
      </c>
      <c r="F1261" s="26" t="s">
        <v>1056</v>
      </c>
      <c r="G1261" s="26" t="s">
        <v>1083</v>
      </c>
      <c r="H1261" s="26">
        <v>38.92</v>
      </c>
      <c r="I1261" s="26">
        <v>-76.150000000000006</v>
      </c>
      <c r="J1261" s="26">
        <v>5</v>
      </c>
      <c r="M1261" s="26">
        <v>997</v>
      </c>
      <c r="P1261" s="52" t="s">
        <v>183</v>
      </c>
      <c r="Q1261" s="52" t="s">
        <v>1057</v>
      </c>
      <c r="R1261" s="52"/>
      <c r="S1261" s="52" t="s">
        <v>1654</v>
      </c>
      <c r="T1261" s="52" t="s">
        <v>1682</v>
      </c>
      <c r="U1261" s="26">
        <v>1.5</v>
      </c>
      <c r="X1261" s="26" t="s">
        <v>168</v>
      </c>
      <c r="AB1261" s="26" t="s">
        <v>1585</v>
      </c>
      <c r="AC1261" s="26" t="s">
        <v>166</v>
      </c>
      <c r="AD1261" s="153" t="str">
        <f t="shared" si="256"/>
        <v>Rye</v>
      </c>
      <c r="AE1261" s="26" t="s">
        <v>167</v>
      </c>
      <c r="AJ1261" s="26" t="s">
        <v>203</v>
      </c>
      <c r="AK1261" s="26" t="s">
        <v>203</v>
      </c>
      <c r="AL1261" s="26" t="s">
        <v>230</v>
      </c>
      <c r="AM1261" s="26" t="s">
        <v>1085</v>
      </c>
      <c r="AN1261" s="26" t="s">
        <v>1085</v>
      </c>
      <c r="AO1261" s="26" t="s">
        <v>230</v>
      </c>
      <c r="AP1261" s="26" t="s">
        <v>154</v>
      </c>
      <c r="AQ1261" s="26">
        <v>4</v>
      </c>
      <c r="AR1261" s="26">
        <v>4</v>
      </c>
      <c r="AS1261" s="26" t="s">
        <v>404</v>
      </c>
      <c r="AU1261" s="26">
        <v>1793</v>
      </c>
      <c r="AV1261" s="26">
        <v>69.227799227799238</v>
      </c>
      <c r="DA1261" s="26">
        <v>25.1</v>
      </c>
      <c r="DB1261" s="26">
        <v>1.7000000000000001E-2</v>
      </c>
      <c r="DC1261" s="26" t="s">
        <v>1090</v>
      </c>
      <c r="FC1261" s="26">
        <v>59</v>
      </c>
    </row>
    <row r="1262" spans="1:159" s="26" customFormat="1" x14ac:dyDescent="0.25">
      <c r="A1262" s="26">
        <v>59</v>
      </c>
      <c r="B1262" s="26" t="s">
        <v>1054</v>
      </c>
      <c r="C1262" s="26" t="s">
        <v>1055</v>
      </c>
      <c r="D1262" s="26">
        <v>1997</v>
      </c>
      <c r="E1262" s="26">
        <v>1991</v>
      </c>
      <c r="F1262" s="26" t="s">
        <v>1056</v>
      </c>
      <c r="G1262" s="26" t="s">
        <v>1083</v>
      </c>
      <c r="H1262" s="26">
        <v>38.92</v>
      </c>
      <c r="I1262" s="26">
        <v>-76.150000000000006</v>
      </c>
      <c r="J1262" s="26">
        <v>5</v>
      </c>
      <c r="M1262" s="26">
        <v>997</v>
      </c>
      <c r="P1262" s="52" t="s">
        <v>183</v>
      </c>
      <c r="Q1262" s="52" t="s">
        <v>1057</v>
      </c>
      <c r="R1262" s="52"/>
      <c r="S1262" s="52" t="s">
        <v>1654</v>
      </c>
      <c r="T1262" s="52" t="s">
        <v>1682</v>
      </c>
      <c r="U1262" s="26">
        <v>1.5</v>
      </c>
      <c r="X1262" s="26" t="s">
        <v>168</v>
      </c>
      <c r="AB1262" s="26" t="s">
        <v>1585</v>
      </c>
      <c r="AC1262" s="26" t="s">
        <v>166</v>
      </c>
      <c r="AD1262" s="153" t="str">
        <f t="shared" si="256"/>
        <v>Rye</v>
      </c>
      <c r="AE1262" s="26" t="s">
        <v>167</v>
      </c>
      <c r="AJ1262" s="26" t="s">
        <v>203</v>
      </c>
      <c r="AK1262" s="26" t="s">
        <v>203</v>
      </c>
      <c r="AL1262" s="26" t="s">
        <v>230</v>
      </c>
      <c r="AM1262" s="26" t="s">
        <v>1085</v>
      </c>
      <c r="AN1262" s="26" t="s">
        <v>1085</v>
      </c>
      <c r="AO1262" s="26" t="s">
        <v>230</v>
      </c>
      <c r="AP1262" s="26" t="s">
        <v>154</v>
      </c>
      <c r="AQ1262" s="26">
        <v>4</v>
      </c>
      <c r="AR1262" s="26">
        <v>4</v>
      </c>
      <c r="AS1262" s="26" t="s">
        <v>404</v>
      </c>
      <c r="AU1262" s="26">
        <v>1793</v>
      </c>
      <c r="AV1262" s="26">
        <v>69.227799227799238</v>
      </c>
      <c r="DA1262" s="26">
        <v>25.78</v>
      </c>
      <c r="DB1262" s="26">
        <v>1.4999999999999999E-2</v>
      </c>
      <c r="DC1262" s="26" t="s">
        <v>1090</v>
      </c>
      <c r="FC1262" s="26">
        <v>59</v>
      </c>
    </row>
    <row r="1263" spans="1:159" s="26" customFormat="1" x14ac:dyDescent="0.25">
      <c r="A1263" s="26">
        <v>59</v>
      </c>
      <c r="B1263" s="26" t="s">
        <v>1054</v>
      </c>
      <c r="C1263" s="26" t="s">
        <v>1055</v>
      </c>
      <c r="D1263" s="26">
        <v>1997</v>
      </c>
      <c r="E1263" s="26">
        <v>1991</v>
      </c>
      <c r="F1263" s="26" t="s">
        <v>1056</v>
      </c>
      <c r="G1263" s="26" t="s">
        <v>1083</v>
      </c>
      <c r="H1263" s="26">
        <v>38.92</v>
      </c>
      <c r="I1263" s="26">
        <v>-76.150000000000006</v>
      </c>
      <c r="J1263" s="26">
        <v>5</v>
      </c>
      <c r="M1263" s="26">
        <v>997</v>
      </c>
      <c r="P1263" s="52" t="s">
        <v>183</v>
      </c>
      <c r="Q1263" s="52" t="s">
        <v>1057</v>
      </c>
      <c r="R1263" s="52"/>
      <c r="S1263" s="52" t="s">
        <v>1654</v>
      </c>
      <c r="T1263" s="52" t="s">
        <v>1682</v>
      </c>
      <c r="U1263" s="26">
        <v>1.5</v>
      </c>
      <c r="X1263" s="26" t="s">
        <v>168</v>
      </c>
      <c r="AB1263" s="26" t="s">
        <v>1585</v>
      </c>
      <c r="AC1263" s="26" t="s">
        <v>166</v>
      </c>
      <c r="AD1263" s="153" t="str">
        <f t="shared" si="256"/>
        <v>Rye</v>
      </c>
      <c r="AE1263" s="26" t="s">
        <v>167</v>
      </c>
      <c r="AJ1263" s="26" t="s">
        <v>203</v>
      </c>
      <c r="AK1263" s="26" t="s">
        <v>203</v>
      </c>
      <c r="AL1263" s="26" t="s">
        <v>230</v>
      </c>
      <c r="AM1263" s="26" t="s">
        <v>1085</v>
      </c>
      <c r="AN1263" s="26" t="s">
        <v>1085</v>
      </c>
      <c r="AO1263" s="26" t="s">
        <v>230</v>
      </c>
      <c r="AP1263" s="26" t="s">
        <v>154</v>
      </c>
      <c r="AQ1263" s="26">
        <v>4</v>
      </c>
      <c r="AR1263" s="26">
        <v>4</v>
      </c>
      <c r="AS1263" s="26" t="s">
        <v>404</v>
      </c>
      <c r="AU1263" s="26">
        <v>1793</v>
      </c>
      <c r="AV1263" s="26">
        <v>69.227799227799238</v>
      </c>
      <c r="DA1263" s="26">
        <v>26.7</v>
      </c>
      <c r="DB1263" s="26">
        <v>0.02</v>
      </c>
      <c r="DC1263" s="26" t="s">
        <v>1090</v>
      </c>
      <c r="FC1263" s="26">
        <v>59</v>
      </c>
    </row>
    <row r="1264" spans="1:159" s="26" customFormat="1" x14ac:dyDescent="0.25">
      <c r="A1264" s="26">
        <v>59</v>
      </c>
      <c r="B1264" s="26" t="s">
        <v>1054</v>
      </c>
      <c r="C1264" s="26" t="s">
        <v>1055</v>
      </c>
      <c r="D1264" s="26">
        <v>1997</v>
      </c>
      <c r="E1264" s="26">
        <v>1991</v>
      </c>
      <c r="F1264" s="26" t="s">
        <v>1056</v>
      </c>
      <c r="G1264" s="26" t="s">
        <v>1083</v>
      </c>
      <c r="H1264" s="26">
        <v>38.92</v>
      </c>
      <c r="I1264" s="26">
        <v>-76.150000000000006</v>
      </c>
      <c r="J1264" s="26">
        <v>5</v>
      </c>
      <c r="M1264" s="26">
        <v>997</v>
      </c>
      <c r="P1264" s="52" t="s">
        <v>183</v>
      </c>
      <c r="Q1264" s="52" t="s">
        <v>1057</v>
      </c>
      <c r="R1264" s="52"/>
      <c r="S1264" s="52" t="s">
        <v>1654</v>
      </c>
      <c r="T1264" s="52" t="s">
        <v>1682</v>
      </c>
      <c r="U1264" s="26">
        <v>1.5</v>
      </c>
      <c r="X1264" s="26" t="s">
        <v>168</v>
      </c>
      <c r="AB1264" s="26" t="s">
        <v>1585</v>
      </c>
      <c r="AC1264" s="26" t="s">
        <v>166</v>
      </c>
      <c r="AD1264" s="153" t="str">
        <f t="shared" si="256"/>
        <v>Rye</v>
      </c>
      <c r="AE1264" s="26" t="s">
        <v>167</v>
      </c>
      <c r="AJ1264" s="26" t="s">
        <v>203</v>
      </c>
      <c r="AK1264" s="26" t="s">
        <v>203</v>
      </c>
      <c r="AL1264" s="26" t="s">
        <v>230</v>
      </c>
      <c r="AM1264" s="26" t="s">
        <v>1085</v>
      </c>
      <c r="AN1264" s="26" t="s">
        <v>1085</v>
      </c>
      <c r="AO1264" s="26" t="s">
        <v>230</v>
      </c>
      <c r="AP1264" s="26" t="s">
        <v>154</v>
      </c>
      <c r="AQ1264" s="26">
        <v>4</v>
      </c>
      <c r="AR1264" s="26">
        <v>4</v>
      </c>
      <c r="AS1264" s="26" t="s">
        <v>404</v>
      </c>
      <c r="AU1264" s="26">
        <v>1793</v>
      </c>
      <c r="AV1264" s="26">
        <v>69.227799227799238</v>
      </c>
      <c r="DA1264" s="26">
        <v>20.8</v>
      </c>
      <c r="DB1264" s="26">
        <v>1.33</v>
      </c>
      <c r="DC1264" s="26" t="s">
        <v>1090</v>
      </c>
      <c r="FC1264" s="26">
        <v>59</v>
      </c>
    </row>
    <row r="1265" spans="1:159" s="99" customFormat="1" x14ac:dyDescent="0.25">
      <c r="A1265" s="99">
        <v>59</v>
      </c>
      <c r="B1265" s="99" t="s">
        <v>1054</v>
      </c>
      <c r="C1265" s="99" t="s">
        <v>1055</v>
      </c>
      <c r="D1265" s="99">
        <v>1997</v>
      </c>
      <c r="E1265" s="99">
        <v>1992</v>
      </c>
      <c r="F1265" s="99" t="s">
        <v>1056</v>
      </c>
      <c r="G1265" s="99" t="s">
        <v>1083</v>
      </c>
      <c r="H1265" s="99">
        <v>38.92</v>
      </c>
      <c r="I1265" s="99">
        <v>-76.150000000000006</v>
      </c>
      <c r="J1265" s="99">
        <v>5</v>
      </c>
      <c r="M1265" s="99">
        <v>866</v>
      </c>
      <c r="P1265" s="100" t="s">
        <v>200</v>
      </c>
      <c r="Q1265" s="100" t="s">
        <v>1057</v>
      </c>
      <c r="R1265" s="100"/>
      <c r="S1265" s="100" t="s">
        <v>1654</v>
      </c>
      <c r="T1265" s="100" t="s">
        <v>1682</v>
      </c>
      <c r="U1265" s="99">
        <v>1.5</v>
      </c>
      <c r="X1265" s="99" t="s">
        <v>168</v>
      </c>
      <c r="AB1265" s="99" t="s">
        <v>1585</v>
      </c>
      <c r="AC1265" s="99" t="s">
        <v>166</v>
      </c>
      <c r="AD1265" s="153" t="str">
        <f t="shared" si="256"/>
        <v>Rye</v>
      </c>
      <c r="AE1265" s="99" t="s">
        <v>167</v>
      </c>
      <c r="AJ1265" s="99" t="s">
        <v>203</v>
      </c>
      <c r="AK1265" s="99" t="s">
        <v>203</v>
      </c>
      <c r="AL1265" s="99" t="s">
        <v>230</v>
      </c>
      <c r="AM1265" s="99" t="s">
        <v>1085</v>
      </c>
      <c r="AN1265" s="99" t="s">
        <v>1085</v>
      </c>
      <c r="AO1265" s="99" t="s">
        <v>230</v>
      </c>
      <c r="AP1265" s="99" t="s">
        <v>154</v>
      </c>
      <c r="AQ1265" s="99">
        <v>4</v>
      </c>
      <c r="AR1265" s="99">
        <v>4</v>
      </c>
      <c r="AS1265" s="99" t="s">
        <v>404</v>
      </c>
      <c r="AU1265" s="99">
        <v>2053</v>
      </c>
      <c r="AV1265" s="99">
        <v>50.691358024691361</v>
      </c>
      <c r="DA1265" s="99">
        <v>5.91</v>
      </c>
      <c r="DB1265" s="99">
        <v>3.68</v>
      </c>
      <c r="DC1265" s="99" t="s">
        <v>1090</v>
      </c>
      <c r="FC1265" s="99">
        <v>59</v>
      </c>
    </row>
    <row r="1266" spans="1:159" s="99" customFormat="1" x14ac:dyDescent="0.25">
      <c r="A1266" s="99">
        <v>59</v>
      </c>
      <c r="B1266" s="99" t="s">
        <v>1054</v>
      </c>
      <c r="C1266" s="99" t="s">
        <v>1055</v>
      </c>
      <c r="D1266" s="99">
        <v>1997</v>
      </c>
      <c r="E1266" s="99">
        <v>1992</v>
      </c>
      <c r="F1266" s="99" t="s">
        <v>1056</v>
      </c>
      <c r="G1266" s="99" t="s">
        <v>1083</v>
      </c>
      <c r="H1266" s="99">
        <v>38.92</v>
      </c>
      <c r="I1266" s="99">
        <v>-76.150000000000006</v>
      </c>
      <c r="J1266" s="99">
        <v>5</v>
      </c>
      <c r="M1266" s="99">
        <v>866</v>
      </c>
      <c r="P1266" s="100" t="s">
        <v>200</v>
      </c>
      <c r="Q1266" s="100" t="s">
        <v>1057</v>
      </c>
      <c r="R1266" s="100"/>
      <c r="S1266" s="100" t="s">
        <v>1654</v>
      </c>
      <c r="T1266" s="100" t="s">
        <v>1682</v>
      </c>
      <c r="U1266" s="99">
        <v>1.5</v>
      </c>
      <c r="X1266" s="99" t="s">
        <v>168</v>
      </c>
      <c r="AB1266" s="99" t="s">
        <v>1585</v>
      </c>
      <c r="AC1266" s="99" t="s">
        <v>166</v>
      </c>
      <c r="AD1266" s="153" t="str">
        <f t="shared" si="256"/>
        <v>Rye</v>
      </c>
      <c r="AE1266" s="99" t="s">
        <v>167</v>
      </c>
      <c r="AJ1266" s="99" t="s">
        <v>203</v>
      </c>
      <c r="AK1266" s="99" t="s">
        <v>203</v>
      </c>
      <c r="AL1266" s="99" t="s">
        <v>230</v>
      </c>
      <c r="AM1266" s="99" t="s">
        <v>1085</v>
      </c>
      <c r="AN1266" s="99" t="s">
        <v>1085</v>
      </c>
      <c r="AO1266" s="99" t="s">
        <v>230</v>
      </c>
      <c r="AP1266" s="99" t="s">
        <v>154</v>
      </c>
      <c r="AQ1266" s="99">
        <v>4</v>
      </c>
      <c r="AR1266" s="99">
        <v>4</v>
      </c>
      <c r="AS1266" s="99" t="s">
        <v>404</v>
      </c>
      <c r="AU1266" s="99">
        <v>2053</v>
      </c>
      <c r="AV1266" s="99">
        <v>50.691358024691361</v>
      </c>
      <c r="DA1266" s="99">
        <v>16.62</v>
      </c>
      <c r="DB1266" s="99">
        <v>0.35</v>
      </c>
      <c r="DC1266" s="99" t="s">
        <v>1090</v>
      </c>
      <c r="FC1266" s="99">
        <v>59</v>
      </c>
    </row>
    <row r="1267" spans="1:159" s="99" customFormat="1" x14ac:dyDescent="0.25">
      <c r="A1267" s="99">
        <v>59</v>
      </c>
      <c r="B1267" s="99" t="s">
        <v>1054</v>
      </c>
      <c r="C1267" s="99" t="s">
        <v>1055</v>
      </c>
      <c r="D1267" s="99">
        <v>1997</v>
      </c>
      <c r="E1267" s="99">
        <v>1992</v>
      </c>
      <c r="F1267" s="99" t="s">
        <v>1056</v>
      </c>
      <c r="G1267" s="99" t="s">
        <v>1083</v>
      </c>
      <c r="H1267" s="99">
        <v>38.92</v>
      </c>
      <c r="I1267" s="99">
        <v>-76.150000000000006</v>
      </c>
      <c r="J1267" s="99">
        <v>5</v>
      </c>
      <c r="M1267" s="99">
        <v>866</v>
      </c>
      <c r="P1267" s="100" t="s">
        <v>200</v>
      </c>
      <c r="Q1267" s="100" t="s">
        <v>1057</v>
      </c>
      <c r="R1267" s="100"/>
      <c r="S1267" s="100" t="s">
        <v>1654</v>
      </c>
      <c r="T1267" s="100" t="s">
        <v>1682</v>
      </c>
      <c r="U1267" s="99">
        <v>1.5</v>
      </c>
      <c r="X1267" s="99" t="s">
        <v>168</v>
      </c>
      <c r="AB1267" s="99" t="s">
        <v>1585</v>
      </c>
      <c r="AC1267" s="99" t="s">
        <v>166</v>
      </c>
      <c r="AD1267" s="153" t="str">
        <f t="shared" si="256"/>
        <v>Rye</v>
      </c>
      <c r="AE1267" s="99" t="s">
        <v>167</v>
      </c>
      <c r="AJ1267" s="99" t="s">
        <v>203</v>
      </c>
      <c r="AK1267" s="99" t="s">
        <v>203</v>
      </c>
      <c r="AL1267" s="99" t="s">
        <v>230</v>
      </c>
      <c r="AM1267" s="99" t="s">
        <v>1085</v>
      </c>
      <c r="AN1267" s="99" t="s">
        <v>1085</v>
      </c>
      <c r="AO1267" s="99" t="s">
        <v>230</v>
      </c>
      <c r="AP1267" s="99" t="s">
        <v>154</v>
      </c>
      <c r="AQ1267" s="99">
        <v>4</v>
      </c>
      <c r="AR1267" s="99">
        <v>4</v>
      </c>
      <c r="AS1267" s="99" t="s">
        <v>404</v>
      </c>
      <c r="AU1267" s="99">
        <v>2053</v>
      </c>
      <c r="AV1267" s="99">
        <v>50.691358024691361</v>
      </c>
      <c r="DA1267" s="99">
        <v>15.7</v>
      </c>
      <c r="DB1267" s="99">
        <v>0.1</v>
      </c>
      <c r="DC1267" s="99" t="s">
        <v>1090</v>
      </c>
      <c r="FC1267" s="99">
        <v>59</v>
      </c>
    </row>
    <row r="1268" spans="1:159" s="99" customFormat="1" x14ac:dyDescent="0.25">
      <c r="A1268" s="99">
        <v>59</v>
      </c>
      <c r="B1268" s="99" t="s">
        <v>1054</v>
      </c>
      <c r="C1268" s="99" t="s">
        <v>1055</v>
      </c>
      <c r="D1268" s="99">
        <v>1997</v>
      </c>
      <c r="E1268" s="99">
        <v>1992</v>
      </c>
      <c r="F1268" s="99" t="s">
        <v>1056</v>
      </c>
      <c r="G1268" s="99" t="s">
        <v>1083</v>
      </c>
      <c r="H1268" s="99">
        <v>38.92</v>
      </c>
      <c r="I1268" s="99">
        <v>-76.150000000000006</v>
      </c>
      <c r="J1268" s="99">
        <v>5</v>
      </c>
      <c r="M1268" s="99">
        <v>866</v>
      </c>
      <c r="P1268" s="100" t="s">
        <v>200</v>
      </c>
      <c r="Q1268" s="100" t="s">
        <v>1057</v>
      </c>
      <c r="R1268" s="100"/>
      <c r="S1268" s="100" t="s">
        <v>1654</v>
      </c>
      <c r="T1268" s="100" t="s">
        <v>1682</v>
      </c>
      <c r="U1268" s="99">
        <v>1.5</v>
      </c>
      <c r="X1268" s="99" t="s">
        <v>168</v>
      </c>
      <c r="AB1268" s="99" t="s">
        <v>1585</v>
      </c>
      <c r="AC1268" s="99" t="s">
        <v>166</v>
      </c>
      <c r="AD1268" s="153" t="str">
        <f t="shared" si="256"/>
        <v>Rye</v>
      </c>
      <c r="AE1268" s="99" t="s">
        <v>167</v>
      </c>
      <c r="AJ1268" s="99" t="s">
        <v>203</v>
      </c>
      <c r="AK1268" s="99" t="s">
        <v>203</v>
      </c>
      <c r="AL1268" s="99" t="s">
        <v>230</v>
      </c>
      <c r="AM1268" s="99" t="s">
        <v>1085</v>
      </c>
      <c r="AN1268" s="99" t="s">
        <v>1085</v>
      </c>
      <c r="AO1268" s="99" t="s">
        <v>230</v>
      </c>
      <c r="AP1268" s="99" t="s">
        <v>154</v>
      </c>
      <c r="AQ1268" s="99">
        <v>4</v>
      </c>
      <c r="AR1268" s="99">
        <v>4</v>
      </c>
      <c r="AS1268" s="99" t="s">
        <v>404</v>
      </c>
      <c r="AU1268" s="99">
        <v>2053</v>
      </c>
      <c r="AV1268" s="99">
        <v>50.691358024691361</v>
      </c>
      <c r="DA1268" s="99">
        <v>20.350000000000001</v>
      </c>
      <c r="DB1268" s="99">
        <v>0.3</v>
      </c>
      <c r="DC1268" s="99" t="s">
        <v>1090</v>
      </c>
      <c r="FC1268" s="99">
        <v>59</v>
      </c>
    </row>
    <row r="1269" spans="1:159" s="99" customFormat="1" x14ac:dyDescent="0.25">
      <c r="A1269" s="99">
        <v>59</v>
      </c>
      <c r="B1269" s="99" t="s">
        <v>1054</v>
      </c>
      <c r="C1269" s="99" t="s">
        <v>1055</v>
      </c>
      <c r="D1269" s="99">
        <v>1997</v>
      </c>
      <c r="E1269" s="99">
        <v>1992</v>
      </c>
      <c r="F1269" s="99" t="s">
        <v>1056</v>
      </c>
      <c r="G1269" s="99" t="s">
        <v>1083</v>
      </c>
      <c r="H1269" s="99">
        <v>38.92</v>
      </c>
      <c r="I1269" s="99">
        <v>-76.150000000000006</v>
      </c>
      <c r="J1269" s="99">
        <v>5</v>
      </c>
      <c r="M1269" s="99">
        <v>866</v>
      </c>
      <c r="P1269" s="100" t="s">
        <v>200</v>
      </c>
      <c r="Q1269" s="100" t="s">
        <v>1057</v>
      </c>
      <c r="R1269" s="100"/>
      <c r="S1269" s="100" t="s">
        <v>1654</v>
      </c>
      <c r="T1269" s="100" t="s">
        <v>1682</v>
      </c>
      <c r="U1269" s="99">
        <v>1.5</v>
      </c>
      <c r="X1269" s="99" t="s">
        <v>168</v>
      </c>
      <c r="AB1269" s="99" t="s">
        <v>1585</v>
      </c>
      <c r="AC1269" s="99" t="s">
        <v>166</v>
      </c>
      <c r="AD1269" s="153" t="str">
        <f t="shared" si="256"/>
        <v>Rye</v>
      </c>
      <c r="AE1269" s="99" t="s">
        <v>167</v>
      </c>
      <c r="AJ1269" s="99" t="s">
        <v>203</v>
      </c>
      <c r="AK1269" s="99" t="s">
        <v>203</v>
      </c>
      <c r="AL1269" s="99" t="s">
        <v>230</v>
      </c>
      <c r="AM1269" s="99" t="s">
        <v>1085</v>
      </c>
      <c r="AN1269" s="99" t="s">
        <v>1085</v>
      </c>
      <c r="AO1269" s="99" t="s">
        <v>230</v>
      </c>
      <c r="AP1269" s="99" t="s">
        <v>154</v>
      </c>
      <c r="AQ1269" s="99">
        <v>4</v>
      </c>
      <c r="AR1269" s="99">
        <v>4</v>
      </c>
      <c r="AS1269" s="99" t="s">
        <v>404</v>
      </c>
      <c r="AU1269" s="99">
        <v>2053</v>
      </c>
      <c r="AV1269" s="99">
        <v>50.691358024691361</v>
      </c>
      <c r="DA1269" s="99">
        <v>14.3</v>
      </c>
      <c r="DB1269" s="99">
        <v>0.16</v>
      </c>
      <c r="DC1269" s="99" t="s">
        <v>1090</v>
      </c>
      <c r="FC1269" s="99">
        <v>59</v>
      </c>
    </row>
    <row r="1270" spans="1:159" s="99" customFormat="1" x14ac:dyDescent="0.25">
      <c r="A1270" s="99">
        <v>59</v>
      </c>
      <c r="B1270" s="99" t="s">
        <v>1054</v>
      </c>
      <c r="C1270" s="99" t="s">
        <v>1055</v>
      </c>
      <c r="D1270" s="99">
        <v>1997</v>
      </c>
      <c r="E1270" s="99">
        <v>1992</v>
      </c>
      <c r="F1270" s="99" t="s">
        <v>1056</v>
      </c>
      <c r="G1270" s="99" t="s">
        <v>1083</v>
      </c>
      <c r="H1270" s="99">
        <v>38.92</v>
      </c>
      <c r="I1270" s="99">
        <v>-76.150000000000006</v>
      </c>
      <c r="J1270" s="99">
        <v>5</v>
      </c>
      <c r="M1270" s="99">
        <v>866</v>
      </c>
      <c r="P1270" s="100" t="s">
        <v>200</v>
      </c>
      <c r="Q1270" s="100" t="s">
        <v>1057</v>
      </c>
      <c r="R1270" s="100"/>
      <c r="S1270" s="100" t="s">
        <v>1654</v>
      </c>
      <c r="T1270" s="100" t="s">
        <v>1682</v>
      </c>
      <c r="U1270" s="99">
        <v>1.5</v>
      </c>
      <c r="X1270" s="99" t="s">
        <v>168</v>
      </c>
      <c r="AB1270" s="99" t="s">
        <v>1585</v>
      </c>
      <c r="AC1270" s="99" t="s">
        <v>166</v>
      </c>
      <c r="AD1270" s="153" t="str">
        <f t="shared" si="256"/>
        <v>Rye</v>
      </c>
      <c r="AE1270" s="99" t="s">
        <v>167</v>
      </c>
      <c r="AJ1270" s="99" t="s">
        <v>203</v>
      </c>
      <c r="AK1270" s="99" t="s">
        <v>203</v>
      </c>
      <c r="AL1270" s="99" t="s">
        <v>230</v>
      </c>
      <c r="AM1270" s="99" t="s">
        <v>1085</v>
      </c>
      <c r="AN1270" s="99" t="s">
        <v>1085</v>
      </c>
      <c r="AO1270" s="99" t="s">
        <v>230</v>
      </c>
      <c r="AP1270" s="99" t="s">
        <v>154</v>
      </c>
      <c r="AQ1270" s="99">
        <v>4</v>
      </c>
      <c r="AR1270" s="99">
        <v>4</v>
      </c>
      <c r="AS1270" s="99" t="s">
        <v>404</v>
      </c>
      <c r="AU1270" s="99">
        <v>2053</v>
      </c>
      <c r="AV1270" s="99">
        <v>50.691358024691361</v>
      </c>
      <c r="DA1270" s="99">
        <v>9.17</v>
      </c>
      <c r="DB1270" s="99">
        <v>0.1</v>
      </c>
      <c r="DC1270" s="99" t="s">
        <v>1090</v>
      </c>
      <c r="FC1270" s="99">
        <v>59</v>
      </c>
    </row>
    <row r="1271" spans="1:159" s="99" customFormat="1" x14ac:dyDescent="0.25">
      <c r="A1271" s="99">
        <v>59</v>
      </c>
      <c r="B1271" s="99" t="s">
        <v>1054</v>
      </c>
      <c r="C1271" s="99" t="s">
        <v>1055</v>
      </c>
      <c r="D1271" s="99">
        <v>1997</v>
      </c>
      <c r="E1271" s="99">
        <v>1992</v>
      </c>
      <c r="F1271" s="99" t="s">
        <v>1056</v>
      </c>
      <c r="G1271" s="99" t="s">
        <v>1083</v>
      </c>
      <c r="H1271" s="99">
        <v>38.92</v>
      </c>
      <c r="I1271" s="99">
        <v>-76.150000000000006</v>
      </c>
      <c r="J1271" s="99">
        <v>5</v>
      </c>
      <c r="M1271" s="99">
        <v>866</v>
      </c>
      <c r="P1271" s="100" t="s">
        <v>200</v>
      </c>
      <c r="Q1271" s="100" t="s">
        <v>1057</v>
      </c>
      <c r="R1271" s="100"/>
      <c r="S1271" s="100" t="s">
        <v>1654</v>
      </c>
      <c r="T1271" s="100" t="s">
        <v>1682</v>
      </c>
      <c r="U1271" s="99">
        <v>1.5</v>
      </c>
      <c r="X1271" s="99" t="s">
        <v>168</v>
      </c>
      <c r="AB1271" s="99" t="s">
        <v>1585</v>
      </c>
      <c r="AC1271" s="99" t="s">
        <v>166</v>
      </c>
      <c r="AD1271" s="153" t="str">
        <f t="shared" si="256"/>
        <v>Rye</v>
      </c>
      <c r="AE1271" s="99" t="s">
        <v>167</v>
      </c>
      <c r="AJ1271" s="99" t="s">
        <v>203</v>
      </c>
      <c r="AK1271" s="99" t="s">
        <v>203</v>
      </c>
      <c r="AL1271" s="99" t="s">
        <v>230</v>
      </c>
      <c r="AM1271" s="99" t="s">
        <v>1085</v>
      </c>
      <c r="AN1271" s="99" t="s">
        <v>1085</v>
      </c>
      <c r="AO1271" s="99" t="s">
        <v>230</v>
      </c>
      <c r="AP1271" s="99" t="s">
        <v>154</v>
      </c>
      <c r="AQ1271" s="99">
        <v>4</v>
      </c>
      <c r="AR1271" s="99">
        <v>4</v>
      </c>
      <c r="AS1271" s="99" t="s">
        <v>404</v>
      </c>
      <c r="AU1271" s="99">
        <v>2053</v>
      </c>
      <c r="AV1271" s="99">
        <v>50.691358024691361</v>
      </c>
      <c r="DA1271" s="99">
        <v>5.12</v>
      </c>
      <c r="DB1271" s="99">
        <v>0.55000000000000004</v>
      </c>
      <c r="DC1271" s="99" t="s">
        <v>1090</v>
      </c>
      <c r="FC1271" s="99">
        <v>59</v>
      </c>
    </row>
    <row r="1272" spans="1:159" s="99" customFormat="1" x14ac:dyDescent="0.25">
      <c r="A1272" s="99">
        <v>59</v>
      </c>
      <c r="B1272" s="99" t="s">
        <v>1054</v>
      </c>
      <c r="C1272" s="99" t="s">
        <v>1055</v>
      </c>
      <c r="D1272" s="99">
        <v>1997</v>
      </c>
      <c r="E1272" s="99">
        <v>1992</v>
      </c>
      <c r="F1272" s="99" t="s">
        <v>1056</v>
      </c>
      <c r="G1272" s="99" t="s">
        <v>1083</v>
      </c>
      <c r="H1272" s="99">
        <v>38.92</v>
      </c>
      <c r="I1272" s="99">
        <v>-76.150000000000006</v>
      </c>
      <c r="J1272" s="99">
        <v>5</v>
      </c>
      <c r="M1272" s="99">
        <v>866</v>
      </c>
      <c r="P1272" s="100" t="s">
        <v>200</v>
      </c>
      <c r="Q1272" s="100" t="s">
        <v>1057</v>
      </c>
      <c r="R1272" s="100"/>
      <c r="S1272" s="100" t="s">
        <v>1654</v>
      </c>
      <c r="T1272" s="100" t="s">
        <v>1682</v>
      </c>
      <c r="U1272" s="99">
        <v>1.5</v>
      </c>
      <c r="X1272" s="99" t="s">
        <v>168</v>
      </c>
      <c r="AB1272" s="99" t="s">
        <v>1585</v>
      </c>
      <c r="AC1272" s="99" t="s">
        <v>166</v>
      </c>
      <c r="AD1272" s="153" t="str">
        <f t="shared" si="256"/>
        <v>Rye</v>
      </c>
      <c r="AE1272" s="99" t="s">
        <v>167</v>
      </c>
      <c r="AJ1272" s="99" t="s">
        <v>203</v>
      </c>
      <c r="AK1272" s="99" t="s">
        <v>203</v>
      </c>
      <c r="AL1272" s="99" t="s">
        <v>230</v>
      </c>
      <c r="AM1272" s="99" t="s">
        <v>1085</v>
      </c>
      <c r="AN1272" s="99" t="s">
        <v>1085</v>
      </c>
      <c r="AO1272" s="99" t="s">
        <v>230</v>
      </c>
      <c r="AP1272" s="99" t="s">
        <v>154</v>
      </c>
      <c r="AQ1272" s="99">
        <v>4</v>
      </c>
      <c r="AR1272" s="99">
        <v>4</v>
      </c>
      <c r="AS1272" s="99" t="s">
        <v>404</v>
      </c>
      <c r="AU1272" s="99">
        <v>2053</v>
      </c>
      <c r="AV1272" s="99">
        <v>50.691358024691361</v>
      </c>
      <c r="DA1272" s="99">
        <v>12.96</v>
      </c>
      <c r="DB1272" s="99">
        <v>1.23</v>
      </c>
      <c r="DC1272" s="99" t="s">
        <v>1090</v>
      </c>
      <c r="FC1272" s="99">
        <v>59</v>
      </c>
    </row>
    <row r="1273" spans="1:159" s="26" customFormat="1" x14ac:dyDescent="0.25">
      <c r="A1273" s="26">
        <v>59</v>
      </c>
      <c r="B1273" s="26" t="s">
        <v>1054</v>
      </c>
      <c r="C1273" s="26" t="s">
        <v>1055</v>
      </c>
      <c r="D1273" s="26">
        <v>1997</v>
      </c>
      <c r="E1273" s="26">
        <v>1993</v>
      </c>
      <c r="F1273" s="26" t="s">
        <v>1056</v>
      </c>
      <c r="G1273" s="26" t="s">
        <v>1083</v>
      </c>
      <c r="H1273" s="26">
        <v>38.92</v>
      </c>
      <c r="I1273" s="26">
        <v>-76.150000000000006</v>
      </c>
      <c r="J1273" s="26">
        <v>5</v>
      </c>
      <c r="M1273" s="26">
        <v>972</v>
      </c>
      <c r="P1273" s="52" t="s">
        <v>1022</v>
      </c>
      <c r="Q1273" s="52" t="s">
        <v>1057</v>
      </c>
      <c r="R1273" s="52"/>
      <c r="S1273" s="52" t="s">
        <v>1654</v>
      </c>
      <c r="T1273" s="52" t="s">
        <v>1682</v>
      </c>
      <c r="U1273" s="26">
        <v>1.5</v>
      </c>
      <c r="X1273" s="26" t="s">
        <v>168</v>
      </c>
      <c r="AB1273" s="26" t="s">
        <v>1585</v>
      </c>
      <c r="AC1273" s="26" t="s">
        <v>166</v>
      </c>
      <c r="AD1273" s="153" t="str">
        <f t="shared" si="256"/>
        <v>Rye</v>
      </c>
      <c r="AE1273" s="26" t="s">
        <v>167</v>
      </c>
      <c r="AJ1273" s="26" t="s">
        <v>203</v>
      </c>
      <c r="AK1273" s="26" t="s">
        <v>203</v>
      </c>
      <c r="AL1273" s="26" t="s">
        <v>230</v>
      </c>
      <c r="AM1273" s="26" t="s">
        <v>1085</v>
      </c>
      <c r="AN1273" s="26" t="s">
        <v>1085</v>
      </c>
      <c r="AO1273" s="26" t="s">
        <v>230</v>
      </c>
      <c r="AP1273" s="26" t="s">
        <v>154</v>
      </c>
      <c r="AQ1273" s="26">
        <v>4</v>
      </c>
      <c r="AR1273" s="26">
        <v>4</v>
      </c>
      <c r="AS1273" s="26" t="s">
        <v>404</v>
      </c>
      <c r="AU1273" s="26">
        <v>1873</v>
      </c>
      <c r="AV1273" s="26">
        <v>50.21447721179625</v>
      </c>
      <c r="DA1273" s="26">
        <v>8.82</v>
      </c>
      <c r="DB1273" s="26">
        <v>3.97</v>
      </c>
      <c r="DC1273" s="26" t="s">
        <v>1090</v>
      </c>
      <c r="FC1273" s="26">
        <v>59</v>
      </c>
    </row>
    <row r="1274" spans="1:159" s="26" customFormat="1" x14ac:dyDescent="0.25">
      <c r="A1274" s="26">
        <v>59</v>
      </c>
      <c r="B1274" s="26" t="s">
        <v>1054</v>
      </c>
      <c r="C1274" s="26" t="s">
        <v>1055</v>
      </c>
      <c r="D1274" s="26">
        <v>1997</v>
      </c>
      <c r="E1274" s="26">
        <v>1993</v>
      </c>
      <c r="F1274" s="26" t="s">
        <v>1056</v>
      </c>
      <c r="G1274" s="26" t="s">
        <v>1083</v>
      </c>
      <c r="H1274" s="26">
        <v>38.92</v>
      </c>
      <c r="I1274" s="26">
        <v>-76.150000000000006</v>
      </c>
      <c r="J1274" s="26">
        <v>5</v>
      </c>
      <c r="M1274" s="26">
        <v>972</v>
      </c>
      <c r="P1274" s="52" t="s">
        <v>1022</v>
      </c>
      <c r="Q1274" s="52" t="s">
        <v>1057</v>
      </c>
      <c r="R1274" s="52"/>
      <c r="S1274" s="52" t="s">
        <v>1654</v>
      </c>
      <c r="T1274" s="52" t="s">
        <v>1682</v>
      </c>
      <c r="U1274" s="26">
        <v>1.5</v>
      </c>
      <c r="X1274" s="26" t="s">
        <v>168</v>
      </c>
      <c r="AB1274" s="26" t="s">
        <v>1585</v>
      </c>
      <c r="AC1274" s="26" t="s">
        <v>166</v>
      </c>
      <c r="AD1274" s="153" t="str">
        <f t="shared" si="256"/>
        <v>Rye</v>
      </c>
      <c r="AE1274" s="26" t="s">
        <v>167</v>
      </c>
      <c r="AJ1274" s="26" t="s">
        <v>203</v>
      </c>
      <c r="AK1274" s="26" t="s">
        <v>203</v>
      </c>
      <c r="AL1274" s="26" t="s">
        <v>230</v>
      </c>
      <c r="AM1274" s="26" t="s">
        <v>1085</v>
      </c>
      <c r="AN1274" s="26" t="s">
        <v>1085</v>
      </c>
      <c r="AO1274" s="26" t="s">
        <v>230</v>
      </c>
      <c r="AP1274" s="26" t="s">
        <v>154</v>
      </c>
      <c r="AQ1274" s="26">
        <v>4</v>
      </c>
      <c r="AR1274" s="26">
        <v>4</v>
      </c>
      <c r="AS1274" s="26" t="s">
        <v>404</v>
      </c>
      <c r="AU1274" s="26">
        <v>1873</v>
      </c>
      <c r="AV1274" s="26">
        <v>50.21447721179625</v>
      </c>
      <c r="DA1274" s="26">
        <v>6.88</v>
      </c>
      <c r="DB1274" s="26">
        <v>5.72</v>
      </c>
      <c r="DC1274" s="26" t="s">
        <v>1090</v>
      </c>
      <c r="FC1274" s="26">
        <v>59</v>
      </c>
    </row>
    <row r="1275" spans="1:159" s="26" customFormat="1" x14ac:dyDescent="0.25">
      <c r="A1275" s="26">
        <v>59</v>
      </c>
      <c r="B1275" s="26" t="s">
        <v>1054</v>
      </c>
      <c r="C1275" s="26" t="s">
        <v>1055</v>
      </c>
      <c r="D1275" s="26">
        <v>1997</v>
      </c>
      <c r="E1275" s="26">
        <v>1993</v>
      </c>
      <c r="F1275" s="26" t="s">
        <v>1056</v>
      </c>
      <c r="G1275" s="26" t="s">
        <v>1083</v>
      </c>
      <c r="H1275" s="26">
        <v>38.92</v>
      </c>
      <c r="I1275" s="26">
        <v>-76.150000000000006</v>
      </c>
      <c r="J1275" s="26">
        <v>5</v>
      </c>
      <c r="M1275" s="26">
        <v>972</v>
      </c>
      <c r="P1275" s="52" t="s">
        <v>1022</v>
      </c>
      <c r="Q1275" s="52" t="s">
        <v>1057</v>
      </c>
      <c r="R1275" s="52"/>
      <c r="S1275" s="52" t="s">
        <v>1654</v>
      </c>
      <c r="T1275" s="52" t="s">
        <v>1682</v>
      </c>
      <c r="U1275" s="26">
        <v>1.5</v>
      </c>
      <c r="X1275" s="26" t="s">
        <v>168</v>
      </c>
      <c r="AB1275" s="26" t="s">
        <v>1585</v>
      </c>
      <c r="AC1275" s="26" t="s">
        <v>166</v>
      </c>
      <c r="AD1275" s="153" t="str">
        <f t="shared" si="256"/>
        <v>Rye</v>
      </c>
      <c r="AE1275" s="26" t="s">
        <v>167</v>
      </c>
      <c r="AJ1275" s="26" t="s">
        <v>203</v>
      </c>
      <c r="AK1275" s="26" t="s">
        <v>203</v>
      </c>
      <c r="AL1275" s="26" t="s">
        <v>230</v>
      </c>
      <c r="AM1275" s="26" t="s">
        <v>1085</v>
      </c>
      <c r="AN1275" s="26" t="s">
        <v>1085</v>
      </c>
      <c r="AO1275" s="26" t="s">
        <v>230</v>
      </c>
      <c r="AP1275" s="26" t="s">
        <v>154</v>
      </c>
      <c r="AQ1275" s="26">
        <v>4</v>
      </c>
      <c r="AR1275" s="26">
        <v>4</v>
      </c>
      <c r="AS1275" s="26" t="s">
        <v>404</v>
      </c>
      <c r="AU1275" s="26">
        <v>1873</v>
      </c>
      <c r="AV1275" s="26">
        <v>50.21447721179625</v>
      </c>
      <c r="DA1275" s="26">
        <v>10.47</v>
      </c>
      <c r="DB1275" s="26">
        <v>2.72</v>
      </c>
      <c r="DC1275" s="26" t="s">
        <v>1090</v>
      </c>
      <c r="FC1275" s="26">
        <v>59</v>
      </c>
    </row>
    <row r="1276" spans="1:159" s="26" customFormat="1" x14ac:dyDescent="0.25">
      <c r="A1276" s="26">
        <v>59</v>
      </c>
      <c r="B1276" s="26" t="s">
        <v>1054</v>
      </c>
      <c r="C1276" s="26" t="s">
        <v>1055</v>
      </c>
      <c r="D1276" s="26">
        <v>1997</v>
      </c>
      <c r="E1276" s="26">
        <v>1993</v>
      </c>
      <c r="F1276" s="26" t="s">
        <v>1056</v>
      </c>
      <c r="G1276" s="26" t="s">
        <v>1083</v>
      </c>
      <c r="H1276" s="26">
        <v>38.92</v>
      </c>
      <c r="I1276" s="26">
        <v>-76.150000000000006</v>
      </c>
      <c r="J1276" s="26">
        <v>5</v>
      </c>
      <c r="M1276" s="26">
        <v>972</v>
      </c>
      <c r="P1276" s="52" t="s">
        <v>1022</v>
      </c>
      <c r="Q1276" s="52" t="s">
        <v>1057</v>
      </c>
      <c r="R1276" s="52"/>
      <c r="S1276" s="52" t="s">
        <v>1654</v>
      </c>
      <c r="T1276" s="52" t="s">
        <v>1682</v>
      </c>
      <c r="U1276" s="26">
        <v>1.5</v>
      </c>
      <c r="X1276" s="26" t="s">
        <v>168</v>
      </c>
      <c r="AB1276" s="26" t="s">
        <v>1585</v>
      </c>
      <c r="AC1276" s="26" t="s">
        <v>166</v>
      </c>
      <c r="AD1276" s="153" t="str">
        <f t="shared" si="256"/>
        <v>Rye</v>
      </c>
      <c r="AE1276" s="26" t="s">
        <v>167</v>
      </c>
      <c r="AJ1276" s="26" t="s">
        <v>203</v>
      </c>
      <c r="AK1276" s="26" t="s">
        <v>203</v>
      </c>
      <c r="AL1276" s="26" t="s">
        <v>230</v>
      </c>
      <c r="AM1276" s="26" t="s">
        <v>1085</v>
      </c>
      <c r="AN1276" s="26" t="s">
        <v>1085</v>
      </c>
      <c r="AO1276" s="26" t="s">
        <v>230</v>
      </c>
      <c r="AP1276" s="26" t="s">
        <v>154</v>
      </c>
      <c r="AQ1276" s="26">
        <v>4</v>
      </c>
      <c r="AR1276" s="26">
        <v>4</v>
      </c>
      <c r="AS1276" s="26" t="s">
        <v>404</v>
      </c>
      <c r="AU1276" s="26">
        <v>1873</v>
      </c>
      <c r="AV1276" s="26">
        <v>50.21447721179625</v>
      </c>
      <c r="DA1276" s="26">
        <v>7.95</v>
      </c>
      <c r="DB1276" s="26">
        <v>1.72</v>
      </c>
      <c r="DC1276" s="26" t="s">
        <v>1090</v>
      </c>
      <c r="FC1276" s="26">
        <v>59</v>
      </c>
    </row>
    <row r="1277" spans="1:159" s="26" customFormat="1" x14ac:dyDescent="0.25">
      <c r="A1277" s="26">
        <v>59</v>
      </c>
      <c r="B1277" s="26" t="s">
        <v>1054</v>
      </c>
      <c r="C1277" s="26" t="s">
        <v>1055</v>
      </c>
      <c r="D1277" s="26">
        <v>1997</v>
      </c>
      <c r="E1277" s="26">
        <v>1993</v>
      </c>
      <c r="F1277" s="26" t="s">
        <v>1056</v>
      </c>
      <c r="G1277" s="26" t="s">
        <v>1083</v>
      </c>
      <c r="H1277" s="26">
        <v>38.92</v>
      </c>
      <c r="I1277" s="26">
        <v>-76.150000000000006</v>
      </c>
      <c r="J1277" s="26">
        <v>5</v>
      </c>
      <c r="M1277" s="26">
        <v>972</v>
      </c>
      <c r="P1277" s="52" t="s">
        <v>1022</v>
      </c>
      <c r="Q1277" s="52" t="s">
        <v>1057</v>
      </c>
      <c r="R1277" s="52"/>
      <c r="S1277" s="52" t="s">
        <v>1654</v>
      </c>
      <c r="T1277" s="52" t="s">
        <v>1682</v>
      </c>
      <c r="U1277" s="26">
        <v>1.5</v>
      </c>
      <c r="X1277" s="26" t="s">
        <v>168</v>
      </c>
      <c r="AB1277" s="26" t="s">
        <v>1585</v>
      </c>
      <c r="AC1277" s="26" t="s">
        <v>166</v>
      </c>
      <c r="AD1277" s="153" t="str">
        <f t="shared" si="256"/>
        <v>Rye</v>
      </c>
      <c r="AE1277" s="26" t="s">
        <v>167</v>
      </c>
      <c r="AJ1277" s="26" t="s">
        <v>203</v>
      </c>
      <c r="AK1277" s="26" t="s">
        <v>203</v>
      </c>
      <c r="AL1277" s="26" t="s">
        <v>230</v>
      </c>
      <c r="AM1277" s="26" t="s">
        <v>1085</v>
      </c>
      <c r="AN1277" s="26" t="s">
        <v>1085</v>
      </c>
      <c r="AO1277" s="26" t="s">
        <v>230</v>
      </c>
      <c r="AP1277" s="26" t="s">
        <v>154</v>
      </c>
      <c r="AQ1277" s="26">
        <v>4</v>
      </c>
      <c r="AR1277" s="26">
        <v>4</v>
      </c>
      <c r="AS1277" s="26" t="s">
        <v>404</v>
      </c>
      <c r="AU1277" s="26">
        <v>1873</v>
      </c>
      <c r="AV1277" s="26">
        <v>50.21447721179625</v>
      </c>
      <c r="DA1277" s="26">
        <v>10.62</v>
      </c>
      <c r="DB1277" s="26">
        <v>0.45</v>
      </c>
      <c r="DC1277" s="26" t="s">
        <v>1090</v>
      </c>
      <c r="FC1277" s="26">
        <v>59</v>
      </c>
    </row>
    <row r="1278" spans="1:159" s="26" customFormat="1" x14ac:dyDescent="0.25">
      <c r="A1278" s="26">
        <v>59</v>
      </c>
      <c r="B1278" s="26" t="s">
        <v>1054</v>
      </c>
      <c r="C1278" s="26" t="s">
        <v>1055</v>
      </c>
      <c r="D1278" s="26">
        <v>1997</v>
      </c>
      <c r="E1278" s="26">
        <v>1993</v>
      </c>
      <c r="F1278" s="26" t="s">
        <v>1056</v>
      </c>
      <c r="G1278" s="26" t="s">
        <v>1083</v>
      </c>
      <c r="H1278" s="26">
        <v>38.92</v>
      </c>
      <c r="I1278" s="26">
        <v>-76.150000000000006</v>
      </c>
      <c r="J1278" s="26">
        <v>5</v>
      </c>
      <c r="M1278" s="26">
        <v>972</v>
      </c>
      <c r="P1278" s="52" t="s">
        <v>1022</v>
      </c>
      <c r="Q1278" s="52" t="s">
        <v>1057</v>
      </c>
      <c r="R1278" s="52"/>
      <c r="S1278" s="52" t="s">
        <v>1654</v>
      </c>
      <c r="T1278" s="52" t="s">
        <v>1682</v>
      </c>
      <c r="U1278" s="26">
        <v>1.5</v>
      </c>
      <c r="X1278" s="26" t="s">
        <v>168</v>
      </c>
      <c r="AB1278" s="26" t="s">
        <v>1585</v>
      </c>
      <c r="AC1278" s="26" t="s">
        <v>166</v>
      </c>
      <c r="AD1278" s="153" t="str">
        <f t="shared" si="256"/>
        <v>Rye</v>
      </c>
      <c r="AE1278" s="26" t="s">
        <v>167</v>
      </c>
      <c r="AJ1278" s="26" t="s">
        <v>203</v>
      </c>
      <c r="AK1278" s="26" t="s">
        <v>203</v>
      </c>
      <c r="AL1278" s="26" t="s">
        <v>230</v>
      </c>
      <c r="AM1278" s="26" t="s">
        <v>1085</v>
      </c>
      <c r="AN1278" s="26" t="s">
        <v>1085</v>
      </c>
      <c r="AO1278" s="26" t="s">
        <v>230</v>
      </c>
      <c r="AP1278" s="26" t="s">
        <v>154</v>
      </c>
      <c r="AQ1278" s="26">
        <v>4</v>
      </c>
      <c r="AR1278" s="26">
        <v>4</v>
      </c>
      <c r="AS1278" s="26" t="s">
        <v>404</v>
      </c>
      <c r="AU1278" s="26">
        <v>1873</v>
      </c>
      <c r="AV1278" s="26">
        <v>50.21447721179625</v>
      </c>
      <c r="DA1278" s="26">
        <v>7.33</v>
      </c>
      <c r="DB1278" s="26">
        <v>0.26</v>
      </c>
      <c r="DC1278" s="26" t="s">
        <v>1090</v>
      </c>
      <c r="FC1278" s="26">
        <v>59</v>
      </c>
    </row>
    <row r="1279" spans="1:159" s="26" customFormat="1" x14ac:dyDescent="0.25">
      <c r="A1279" s="26">
        <v>59</v>
      </c>
      <c r="B1279" s="26" t="s">
        <v>1054</v>
      </c>
      <c r="C1279" s="26" t="s">
        <v>1055</v>
      </c>
      <c r="D1279" s="26">
        <v>1997</v>
      </c>
      <c r="E1279" s="26">
        <v>1993</v>
      </c>
      <c r="F1279" s="26" t="s">
        <v>1056</v>
      </c>
      <c r="G1279" s="26" t="s">
        <v>1083</v>
      </c>
      <c r="H1279" s="26">
        <v>38.92</v>
      </c>
      <c r="I1279" s="26">
        <v>-76.150000000000006</v>
      </c>
      <c r="J1279" s="26">
        <v>5</v>
      </c>
      <c r="M1279" s="26">
        <v>972</v>
      </c>
      <c r="P1279" s="52" t="s">
        <v>1022</v>
      </c>
      <c r="Q1279" s="52" t="s">
        <v>1057</v>
      </c>
      <c r="R1279" s="52"/>
      <c r="S1279" s="52" t="s">
        <v>1654</v>
      </c>
      <c r="T1279" s="52" t="s">
        <v>1682</v>
      </c>
      <c r="U1279" s="26">
        <v>1.5</v>
      </c>
      <c r="X1279" s="26" t="s">
        <v>168</v>
      </c>
      <c r="AB1279" s="26" t="s">
        <v>1585</v>
      </c>
      <c r="AC1279" s="26" t="s">
        <v>166</v>
      </c>
      <c r="AD1279" s="153" t="str">
        <f t="shared" si="256"/>
        <v>Rye</v>
      </c>
      <c r="AE1279" s="26" t="s">
        <v>167</v>
      </c>
      <c r="AJ1279" s="26" t="s">
        <v>203</v>
      </c>
      <c r="AK1279" s="26" t="s">
        <v>203</v>
      </c>
      <c r="AL1279" s="26" t="s">
        <v>230</v>
      </c>
      <c r="AM1279" s="26" t="s">
        <v>1085</v>
      </c>
      <c r="AN1279" s="26" t="s">
        <v>1085</v>
      </c>
      <c r="AO1279" s="26" t="s">
        <v>230</v>
      </c>
      <c r="AP1279" s="26" t="s">
        <v>154</v>
      </c>
      <c r="AQ1279" s="26">
        <v>4</v>
      </c>
      <c r="AR1279" s="26">
        <v>4</v>
      </c>
      <c r="AS1279" s="26" t="s">
        <v>404</v>
      </c>
      <c r="AU1279" s="26">
        <v>1873</v>
      </c>
      <c r="AV1279" s="26">
        <v>50.21447721179625</v>
      </c>
      <c r="DA1279" s="26">
        <v>8.69</v>
      </c>
      <c r="DB1279" s="26">
        <v>0.46</v>
      </c>
      <c r="DC1279" s="26" t="s">
        <v>1090</v>
      </c>
      <c r="FC1279" s="26">
        <v>59</v>
      </c>
    </row>
    <row r="1280" spans="1:159" s="26" customFormat="1" x14ac:dyDescent="0.25">
      <c r="A1280" s="26">
        <v>59</v>
      </c>
      <c r="B1280" s="26" t="s">
        <v>1054</v>
      </c>
      <c r="C1280" s="26" t="s">
        <v>1055</v>
      </c>
      <c r="D1280" s="26">
        <v>1997</v>
      </c>
      <c r="E1280" s="26">
        <v>1993</v>
      </c>
      <c r="F1280" s="26" t="s">
        <v>1056</v>
      </c>
      <c r="G1280" s="26" t="s">
        <v>1083</v>
      </c>
      <c r="H1280" s="26">
        <v>38.92</v>
      </c>
      <c r="I1280" s="26">
        <v>-76.150000000000006</v>
      </c>
      <c r="J1280" s="26">
        <v>5</v>
      </c>
      <c r="M1280" s="26">
        <v>972</v>
      </c>
      <c r="P1280" s="52" t="s">
        <v>1022</v>
      </c>
      <c r="Q1280" s="52" t="s">
        <v>1057</v>
      </c>
      <c r="R1280" s="52"/>
      <c r="S1280" s="52" t="s">
        <v>1654</v>
      </c>
      <c r="T1280" s="52" t="s">
        <v>1682</v>
      </c>
      <c r="U1280" s="26">
        <v>1.5</v>
      </c>
      <c r="X1280" s="26" t="s">
        <v>168</v>
      </c>
      <c r="AB1280" s="26" t="s">
        <v>1585</v>
      </c>
      <c r="AC1280" s="26" t="s">
        <v>166</v>
      </c>
      <c r="AD1280" s="153" t="str">
        <f t="shared" si="256"/>
        <v>Rye</v>
      </c>
      <c r="AE1280" s="26" t="s">
        <v>167</v>
      </c>
      <c r="AJ1280" s="26" t="s">
        <v>203</v>
      </c>
      <c r="AK1280" s="26" t="s">
        <v>203</v>
      </c>
      <c r="AL1280" s="26" t="s">
        <v>230</v>
      </c>
      <c r="AM1280" s="26" t="s">
        <v>1085</v>
      </c>
      <c r="AN1280" s="26" t="s">
        <v>1085</v>
      </c>
      <c r="AO1280" s="26" t="s">
        <v>230</v>
      </c>
      <c r="AP1280" s="26" t="s">
        <v>154</v>
      </c>
      <c r="AQ1280" s="26">
        <v>4</v>
      </c>
      <c r="AR1280" s="26">
        <v>4</v>
      </c>
      <c r="AS1280" s="26" t="s">
        <v>404</v>
      </c>
      <c r="AU1280" s="26">
        <v>1873</v>
      </c>
      <c r="AV1280" s="26">
        <v>50.21447721179625</v>
      </c>
      <c r="DA1280" s="26">
        <v>12.95</v>
      </c>
      <c r="DB1280" s="26">
        <v>2.98</v>
      </c>
      <c r="DC1280" s="26" t="s">
        <v>1090</v>
      </c>
      <c r="FC1280" s="26">
        <v>59</v>
      </c>
    </row>
    <row r="1281" spans="1:159" s="99" customFormat="1" x14ac:dyDescent="0.25">
      <c r="A1281" s="99">
        <v>59</v>
      </c>
      <c r="B1281" s="99" t="s">
        <v>1054</v>
      </c>
      <c r="C1281" s="99" t="s">
        <v>1055</v>
      </c>
      <c r="D1281" s="99">
        <v>1997</v>
      </c>
      <c r="E1281" s="99">
        <v>1994</v>
      </c>
      <c r="F1281" s="99" t="s">
        <v>1056</v>
      </c>
      <c r="G1281" s="99" t="s">
        <v>1083</v>
      </c>
      <c r="H1281" s="99">
        <v>38.92</v>
      </c>
      <c r="I1281" s="99">
        <v>-76.150000000000006</v>
      </c>
      <c r="J1281" s="99">
        <v>5</v>
      </c>
      <c r="M1281" s="99">
        <v>1275</v>
      </c>
      <c r="P1281" s="100" t="s">
        <v>1023</v>
      </c>
      <c r="Q1281" s="100" t="s">
        <v>1057</v>
      </c>
      <c r="R1281" s="100"/>
      <c r="S1281" s="100" t="s">
        <v>1654</v>
      </c>
      <c r="T1281" s="100" t="s">
        <v>1682</v>
      </c>
      <c r="U1281" s="99">
        <v>1.5</v>
      </c>
      <c r="X1281" s="99" t="s">
        <v>168</v>
      </c>
      <c r="AB1281" s="99" t="s">
        <v>1585</v>
      </c>
      <c r="AC1281" s="99" t="s">
        <v>166</v>
      </c>
      <c r="AD1281" s="153" t="str">
        <f t="shared" si="256"/>
        <v>Rye</v>
      </c>
      <c r="AE1281" s="99" t="s">
        <v>167</v>
      </c>
      <c r="AJ1281" s="99" t="s">
        <v>203</v>
      </c>
      <c r="AK1281" s="99" t="s">
        <v>203</v>
      </c>
      <c r="AL1281" s="99" t="s">
        <v>230</v>
      </c>
      <c r="AM1281" s="99" t="s">
        <v>1085</v>
      </c>
      <c r="AN1281" s="99" t="s">
        <v>1085</v>
      </c>
      <c r="AO1281" s="99" t="s">
        <v>230</v>
      </c>
      <c r="AP1281" s="99" t="s">
        <v>154</v>
      </c>
      <c r="AQ1281" s="99">
        <v>4</v>
      </c>
      <c r="AR1281" s="99">
        <v>4</v>
      </c>
      <c r="AS1281" s="99" t="s">
        <v>404</v>
      </c>
      <c r="AU1281" s="99">
        <v>3645</v>
      </c>
      <c r="AV1281" s="99">
        <v>61.570945945945944</v>
      </c>
      <c r="DA1281" s="99">
        <v>16.27</v>
      </c>
      <c r="DB1281" s="99">
        <v>6</v>
      </c>
      <c r="DC1281" s="99" t="s">
        <v>1090</v>
      </c>
      <c r="FC1281" s="99">
        <v>59</v>
      </c>
    </row>
    <row r="1282" spans="1:159" s="99" customFormat="1" x14ac:dyDescent="0.25">
      <c r="A1282" s="99">
        <v>59</v>
      </c>
      <c r="B1282" s="99" t="s">
        <v>1054</v>
      </c>
      <c r="C1282" s="99" t="s">
        <v>1055</v>
      </c>
      <c r="D1282" s="99">
        <v>1997</v>
      </c>
      <c r="E1282" s="99">
        <v>1994</v>
      </c>
      <c r="F1282" s="99" t="s">
        <v>1056</v>
      </c>
      <c r="G1282" s="99" t="s">
        <v>1083</v>
      </c>
      <c r="H1282" s="99">
        <v>38.92</v>
      </c>
      <c r="I1282" s="99">
        <v>-76.150000000000006</v>
      </c>
      <c r="J1282" s="99">
        <v>5</v>
      </c>
      <c r="M1282" s="99">
        <v>1275</v>
      </c>
      <c r="P1282" s="100" t="s">
        <v>1023</v>
      </c>
      <c r="Q1282" s="100" t="s">
        <v>1057</v>
      </c>
      <c r="R1282" s="100"/>
      <c r="S1282" s="100" t="s">
        <v>1654</v>
      </c>
      <c r="T1282" s="100" t="s">
        <v>1682</v>
      </c>
      <c r="U1282" s="99">
        <v>1.5</v>
      </c>
      <c r="X1282" s="99" t="s">
        <v>168</v>
      </c>
      <c r="AB1282" s="99" t="s">
        <v>1585</v>
      </c>
      <c r="AC1282" s="99" t="s">
        <v>166</v>
      </c>
      <c r="AD1282" s="153" t="str">
        <f t="shared" si="256"/>
        <v>Rye</v>
      </c>
      <c r="AE1282" s="99" t="s">
        <v>167</v>
      </c>
      <c r="AJ1282" s="99" t="s">
        <v>203</v>
      </c>
      <c r="AK1282" s="99" t="s">
        <v>203</v>
      </c>
      <c r="AL1282" s="99" t="s">
        <v>230</v>
      </c>
      <c r="AM1282" s="99" t="s">
        <v>1085</v>
      </c>
      <c r="AN1282" s="99" t="s">
        <v>1085</v>
      </c>
      <c r="AO1282" s="99" t="s">
        <v>230</v>
      </c>
      <c r="AP1282" s="99" t="s">
        <v>154</v>
      </c>
      <c r="AQ1282" s="99">
        <v>4</v>
      </c>
      <c r="AR1282" s="99">
        <v>4</v>
      </c>
      <c r="AS1282" s="99" t="s">
        <v>404</v>
      </c>
      <c r="AU1282" s="99">
        <v>3645</v>
      </c>
      <c r="AV1282" s="99">
        <v>61.570945945945944</v>
      </c>
      <c r="DA1282" s="99">
        <v>15.46</v>
      </c>
      <c r="DB1282" s="99">
        <v>2.19</v>
      </c>
      <c r="DC1282" s="99" t="s">
        <v>1090</v>
      </c>
      <c r="FC1282" s="99">
        <v>59</v>
      </c>
    </row>
    <row r="1283" spans="1:159" s="99" customFormat="1" x14ac:dyDescent="0.25">
      <c r="A1283" s="99">
        <v>59</v>
      </c>
      <c r="B1283" s="99" t="s">
        <v>1054</v>
      </c>
      <c r="C1283" s="99" t="s">
        <v>1055</v>
      </c>
      <c r="D1283" s="99">
        <v>1997</v>
      </c>
      <c r="E1283" s="99">
        <v>1994</v>
      </c>
      <c r="F1283" s="99" t="s">
        <v>1056</v>
      </c>
      <c r="G1283" s="99" t="s">
        <v>1083</v>
      </c>
      <c r="H1283" s="99">
        <v>38.92</v>
      </c>
      <c r="I1283" s="99">
        <v>-76.150000000000006</v>
      </c>
      <c r="J1283" s="99">
        <v>5</v>
      </c>
      <c r="M1283" s="99">
        <v>1275</v>
      </c>
      <c r="P1283" s="100" t="s">
        <v>1023</v>
      </c>
      <c r="Q1283" s="100" t="s">
        <v>1057</v>
      </c>
      <c r="R1283" s="100"/>
      <c r="S1283" s="100" t="s">
        <v>1654</v>
      </c>
      <c r="T1283" s="100" t="s">
        <v>1682</v>
      </c>
      <c r="U1283" s="99">
        <v>1.5</v>
      </c>
      <c r="X1283" s="99" t="s">
        <v>168</v>
      </c>
      <c r="AB1283" s="99" t="s">
        <v>1585</v>
      </c>
      <c r="AC1283" s="99" t="s">
        <v>166</v>
      </c>
      <c r="AD1283" s="153" t="str">
        <f t="shared" ref="AD1283:AD1346" si="257">IF(OR(AC1283="*Rye",AC1283="Rye*",AC1283="Downy_brome"),"Rye",IF(OR(AC1283="*Oat",AC1283="Oat*",AC1283="Trudan_8",AC1283="*Wheat",AC1283="Wheat*",AC1283="Barley*",AC1283="Hemp",AC1283="Hemp",AC1283="Triticale*",AC1283="Grass",AC1283="Millet"),"Grass",IF(OR(AC1283="*clover",AC1283="clover*",AC1283="Vetch*",AC1283="Vetch*",AC1283="Alfalfa",AC1283="Soybean",AC1283="*Lentil",AC1283="Lentil*",AC1283="*Pea",AC1283="Pea*",AC1283="Lupine"),"Legume",AC1283)))</f>
        <v>Rye</v>
      </c>
      <c r="AE1283" s="99" t="s">
        <v>167</v>
      </c>
      <c r="AJ1283" s="99" t="s">
        <v>203</v>
      </c>
      <c r="AK1283" s="99" t="s">
        <v>203</v>
      </c>
      <c r="AL1283" s="99" t="s">
        <v>230</v>
      </c>
      <c r="AM1283" s="99" t="s">
        <v>1085</v>
      </c>
      <c r="AN1283" s="99" t="s">
        <v>1085</v>
      </c>
      <c r="AO1283" s="99" t="s">
        <v>230</v>
      </c>
      <c r="AP1283" s="99" t="s">
        <v>154</v>
      </c>
      <c r="AQ1283" s="99">
        <v>4</v>
      </c>
      <c r="AR1283" s="99">
        <v>4</v>
      </c>
      <c r="AS1283" s="99" t="s">
        <v>404</v>
      </c>
      <c r="AU1283" s="99">
        <v>3645</v>
      </c>
      <c r="AV1283" s="99">
        <v>61.570945945945944</v>
      </c>
      <c r="DA1283" s="99">
        <v>23.55</v>
      </c>
      <c r="DB1283" s="99">
        <v>1.56</v>
      </c>
      <c r="DC1283" s="99" t="s">
        <v>1090</v>
      </c>
      <c r="FC1283" s="99">
        <v>59</v>
      </c>
    </row>
    <row r="1284" spans="1:159" s="99" customFormat="1" x14ac:dyDescent="0.25">
      <c r="A1284" s="99">
        <v>59</v>
      </c>
      <c r="B1284" s="99" t="s">
        <v>1054</v>
      </c>
      <c r="C1284" s="99" t="s">
        <v>1055</v>
      </c>
      <c r="D1284" s="99">
        <v>1997</v>
      </c>
      <c r="E1284" s="99">
        <v>1994</v>
      </c>
      <c r="F1284" s="99" t="s">
        <v>1056</v>
      </c>
      <c r="G1284" s="99" t="s">
        <v>1083</v>
      </c>
      <c r="H1284" s="99">
        <v>38.92</v>
      </c>
      <c r="I1284" s="99">
        <v>-76.150000000000006</v>
      </c>
      <c r="J1284" s="99">
        <v>5</v>
      </c>
      <c r="M1284" s="99">
        <v>1275</v>
      </c>
      <c r="P1284" s="100" t="s">
        <v>1023</v>
      </c>
      <c r="Q1284" s="100" t="s">
        <v>1057</v>
      </c>
      <c r="R1284" s="100"/>
      <c r="S1284" s="100" t="s">
        <v>1654</v>
      </c>
      <c r="T1284" s="100" t="s">
        <v>1682</v>
      </c>
      <c r="U1284" s="99">
        <v>1.5</v>
      </c>
      <c r="X1284" s="99" t="s">
        <v>168</v>
      </c>
      <c r="AB1284" s="99" t="s">
        <v>1585</v>
      </c>
      <c r="AC1284" s="99" t="s">
        <v>166</v>
      </c>
      <c r="AD1284" s="153" t="str">
        <f t="shared" si="257"/>
        <v>Rye</v>
      </c>
      <c r="AE1284" s="99" t="s">
        <v>167</v>
      </c>
      <c r="AJ1284" s="99" t="s">
        <v>203</v>
      </c>
      <c r="AK1284" s="99" t="s">
        <v>203</v>
      </c>
      <c r="AL1284" s="99" t="s">
        <v>230</v>
      </c>
      <c r="AM1284" s="99" t="s">
        <v>1085</v>
      </c>
      <c r="AN1284" s="99" t="s">
        <v>1085</v>
      </c>
      <c r="AO1284" s="99" t="s">
        <v>230</v>
      </c>
      <c r="AP1284" s="99" t="s">
        <v>154</v>
      </c>
      <c r="AQ1284" s="99">
        <v>4</v>
      </c>
      <c r="AR1284" s="99">
        <v>4</v>
      </c>
      <c r="AS1284" s="99" t="s">
        <v>404</v>
      </c>
      <c r="AU1284" s="99">
        <v>3645</v>
      </c>
      <c r="AV1284" s="99">
        <v>61.570945945945944</v>
      </c>
      <c r="DA1284" s="99">
        <v>7.28</v>
      </c>
      <c r="DB1284" s="99">
        <v>0.3</v>
      </c>
      <c r="DC1284" s="99" t="s">
        <v>1090</v>
      </c>
      <c r="FC1284" s="99">
        <v>59</v>
      </c>
    </row>
    <row r="1285" spans="1:159" s="99" customFormat="1" x14ac:dyDescent="0.25">
      <c r="A1285" s="99">
        <v>59</v>
      </c>
      <c r="B1285" s="99" t="s">
        <v>1054</v>
      </c>
      <c r="C1285" s="99" t="s">
        <v>1055</v>
      </c>
      <c r="D1285" s="99">
        <v>1997</v>
      </c>
      <c r="E1285" s="99">
        <v>1994</v>
      </c>
      <c r="F1285" s="99" t="s">
        <v>1056</v>
      </c>
      <c r="G1285" s="99" t="s">
        <v>1083</v>
      </c>
      <c r="H1285" s="99">
        <v>38.92</v>
      </c>
      <c r="I1285" s="99">
        <v>-76.150000000000006</v>
      </c>
      <c r="J1285" s="99">
        <v>5</v>
      </c>
      <c r="M1285" s="99">
        <v>1275</v>
      </c>
      <c r="P1285" s="100" t="s">
        <v>1023</v>
      </c>
      <c r="Q1285" s="100" t="s">
        <v>1057</v>
      </c>
      <c r="R1285" s="100"/>
      <c r="S1285" s="100" t="s">
        <v>1654</v>
      </c>
      <c r="T1285" s="100" t="s">
        <v>1682</v>
      </c>
      <c r="U1285" s="99">
        <v>1.5</v>
      </c>
      <c r="X1285" s="99" t="s">
        <v>168</v>
      </c>
      <c r="AB1285" s="99" t="s">
        <v>1585</v>
      </c>
      <c r="AC1285" s="99" t="s">
        <v>166</v>
      </c>
      <c r="AD1285" s="153" t="str">
        <f t="shared" si="257"/>
        <v>Rye</v>
      </c>
      <c r="AE1285" s="99" t="s">
        <v>167</v>
      </c>
      <c r="AJ1285" s="99" t="s">
        <v>203</v>
      </c>
      <c r="AK1285" s="99" t="s">
        <v>203</v>
      </c>
      <c r="AL1285" s="99" t="s">
        <v>230</v>
      </c>
      <c r="AM1285" s="99" t="s">
        <v>1085</v>
      </c>
      <c r="AN1285" s="99" t="s">
        <v>1085</v>
      </c>
      <c r="AO1285" s="99" t="s">
        <v>230</v>
      </c>
      <c r="AP1285" s="99" t="s">
        <v>154</v>
      </c>
      <c r="AQ1285" s="99">
        <v>4</v>
      </c>
      <c r="AR1285" s="99">
        <v>4</v>
      </c>
      <c r="AS1285" s="99" t="s">
        <v>404</v>
      </c>
      <c r="AU1285" s="99">
        <v>3645</v>
      </c>
      <c r="AV1285" s="99">
        <v>61.570945945945944</v>
      </c>
      <c r="DA1285" s="99">
        <v>7.38</v>
      </c>
      <c r="DB1285" s="99">
        <v>0.21</v>
      </c>
      <c r="DC1285" s="99" t="s">
        <v>1090</v>
      </c>
      <c r="FC1285" s="99">
        <v>59</v>
      </c>
    </row>
    <row r="1286" spans="1:159" s="99" customFormat="1" x14ac:dyDescent="0.25">
      <c r="A1286" s="99">
        <v>59</v>
      </c>
      <c r="B1286" s="99" t="s">
        <v>1054</v>
      </c>
      <c r="C1286" s="99" t="s">
        <v>1055</v>
      </c>
      <c r="D1286" s="99">
        <v>1997</v>
      </c>
      <c r="E1286" s="99">
        <v>1994</v>
      </c>
      <c r="F1286" s="99" t="s">
        <v>1056</v>
      </c>
      <c r="G1286" s="99" t="s">
        <v>1083</v>
      </c>
      <c r="H1286" s="99">
        <v>38.92</v>
      </c>
      <c r="I1286" s="99">
        <v>-76.150000000000006</v>
      </c>
      <c r="J1286" s="99">
        <v>5</v>
      </c>
      <c r="M1286" s="99">
        <v>1275</v>
      </c>
      <c r="P1286" s="100" t="s">
        <v>1023</v>
      </c>
      <c r="Q1286" s="100" t="s">
        <v>1057</v>
      </c>
      <c r="R1286" s="100"/>
      <c r="S1286" s="100" t="s">
        <v>1654</v>
      </c>
      <c r="T1286" s="100" t="s">
        <v>1682</v>
      </c>
      <c r="U1286" s="99">
        <v>1.5</v>
      </c>
      <c r="X1286" s="99" t="s">
        <v>168</v>
      </c>
      <c r="AB1286" s="99" t="s">
        <v>1585</v>
      </c>
      <c r="AC1286" s="99" t="s">
        <v>166</v>
      </c>
      <c r="AD1286" s="153" t="str">
        <f t="shared" si="257"/>
        <v>Rye</v>
      </c>
      <c r="AE1286" s="99" t="s">
        <v>167</v>
      </c>
      <c r="AJ1286" s="99" t="s">
        <v>203</v>
      </c>
      <c r="AK1286" s="99" t="s">
        <v>203</v>
      </c>
      <c r="AL1286" s="99" t="s">
        <v>230</v>
      </c>
      <c r="AM1286" s="99" t="s">
        <v>1085</v>
      </c>
      <c r="AN1286" s="99" t="s">
        <v>1085</v>
      </c>
      <c r="AO1286" s="99" t="s">
        <v>230</v>
      </c>
      <c r="AP1286" s="99" t="s">
        <v>154</v>
      </c>
      <c r="AQ1286" s="99">
        <v>4</v>
      </c>
      <c r="AR1286" s="99">
        <v>4</v>
      </c>
      <c r="AS1286" s="99" t="s">
        <v>404</v>
      </c>
      <c r="AU1286" s="99">
        <v>3645</v>
      </c>
      <c r="AV1286" s="99">
        <v>61.570945945945944</v>
      </c>
      <c r="DA1286" s="99">
        <v>12.85</v>
      </c>
      <c r="DB1286" s="99">
        <v>0.16</v>
      </c>
      <c r="DC1286" s="99" t="s">
        <v>1090</v>
      </c>
      <c r="FC1286" s="99">
        <v>59</v>
      </c>
    </row>
    <row r="1287" spans="1:159" s="99" customFormat="1" x14ac:dyDescent="0.25">
      <c r="A1287" s="99">
        <v>59</v>
      </c>
      <c r="B1287" s="99" t="s">
        <v>1054</v>
      </c>
      <c r="C1287" s="99" t="s">
        <v>1055</v>
      </c>
      <c r="D1287" s="99">
        <v>1997</v>
      </c>
      <c r="E1287" s="99">
        <v>1994</v>
      </c>
      <c r="F1287" s="99" t="s">
        <v>1056</v>
      </c>
      <c r="G1287" s="99" t="s">
        <v>1083</v>
      </c>
      <c r="H1287" s="99">
        <v>38.92</v>
      </c>
      <c r="I1287" s="99">
        <v>-76.150000000000006</v>
      </c>
      <c r="J1287" s="99">
        <v>5</v>
      </c>
      <c r="M1287" s="99">
        <v>1275</v>
      </c>
      <c r="P1287" s="100" t="s">
        <v>1023</v>
      </c>
      <c r="Q1287" s="100" t="s">
        <v>1057</v>
      </c>
      <c r="R1287" s="100"/>
      <c r="S1287" s="100" t="s">
        <v>1654</v>
      </c>
      <c r="T1287" s="100" t="s">
        <v>1682</v>
      </c>
      <c r="U1287" s="99">
        <v>1.5</v>
      </c>
      <c r="X1287" s="99" t="s">
        <v>168</v>
      </c>
      <c r="AB1287" s="99" t="s">
        <v>1585</v>
      </c>
      <c r="AC1287" s="99" t="s">
        <v>166</v>
      </c>
      <c r="AD1287" s="153" t="str">
        <f t="shared" si="257"/>
        <v>Rye</v>
      </c>
      <c r="AE1287" s="99" t="s">
        <v>167</v>
      </c>
      <c r="AJ1287" s="99" t="s">
        <v>203</v>
      </c>
      <c r="AK1287" s="99" t="s">
        <v>203</v>
      </c>
      <c r="AL1287" s="99" t="s">
        <v>230</v>
      </c>
      <c r="AM1287" s="99" t="s">
        <v>1085</v>
      </c>
      <c r="AN1287" s="99" t="s">
        <v>1085</v>
      </c>
      <c r="AO1287" s="99" t="s">
        <v>230</v>
      </c>
      <c r="AP1287" s="99" t="s">
        <v>154</v>
      </c>
      <c r="AQ1287" s="99">
        <v>4</v>
      </c>
      <c r="AR1287" s="99">
        <v>4</v>
      </c>
      <c r="AS1287" s="99" t="s">
        <v>404</v>
      </c>
      <c r="AU1287" s="99">
        <v>3645</v>
      </c>
      <c r="AV1287" s="99">
        <v>61.570945945945944</v>
      </c>
      <c r="DA1287" s="99">
        <v>5</v>
      </c>
      <c r="DB1287" s="99">
        <v>0.16</v>
      </c>
      <c r="DC1287" s="99" t="s">
        <v>1090</v>
      </c>
      <c r="FC1287" s="99">
        <v>59</v>
      </c>
    </row>
    <row r="1288" spans="1:159" s="99" customFormat="1" x14ac:dyDescent="0.25">
      <c r="A1288" s="99">
        <v>59</v>
      </c>
      <c r="B1288" s="99" t="s">
        <v>1054</v>
      </c>
      <c r="C1288" s="99" t="s">
        <v>1055</v>
      </c>
      <c r="D1288" s="99">
        <v>1997</v>
      </c>
      <c r="E1288" s="99">
        <v>1994</v>
      </c>
      <c r="F1288" s="99" t="s">
        <v>1056</v>
      </c>
      <c r="G1288" s="99" t="s">
        <v>1083</v>
      </c>
      <c r="H1288" s="99">
        <v>38.92</v>
      </c>
      <c r="I1288" s="99">
        <v>-76.150000000000006</v>
      </c>
      <c r="J1288" s="99">
        <v>5</v>
      </c>
      <c r="M1288" s="99">
        <v>1275</v>
      </c>
      <c r="P1288" s="100" t="s">
        <v>1023</v>
      </c>
      <c r="Q1288" s="100" t="s">
        <v>1057</v>
      </c>
      <c r="R1288" s="100"/>
      <c r="S1288" s="100" t="s">
        <v>1654</v>
      </c>
      <c r="T1288" s="100" t="s">
        <v>1682</v>
      </c>
      <c r="U1288" s="99">
        <v>1.5</v>
      </c>
      <c r="X1288" s="99" t="s">
        <v>168</v>
      </c>
      <c r="AB1288" s="99" t="s">
        <v>1585</v>
      </c>
      <c r="AC1288" s="99" t="s">
        <v>166</v>
      </c>
      <c r="AD1288" s="153" t="str">
        <f t="shared" si="257"/>
        <v>Rye</v>
      </c>
      <c r="AE1288" s="99" t="s">
        <v>167</v>
      </c>
      <c r="AJ1288" s="99" t="s">
        <v>203</v>
      </c>
      <c r="AK1288" s="99" t="s">
        <v>203</v>
      </c>
      <c r="AL1288" s="99" t="s">
        <v>230</v>
      </c>
      <c r="AM1288" s="99" t="s">
        <v>1085</v>
      </c>
      <c r="AN1288" s="99" t="s">
        <v>1085</v>
      </c>
      <c r="AO1288" s="99" t="s">
        <v>230</v>
      </c>
      <c r="AP1288" s="99" t="s">
        <v>154</v>
      </c>
      <c r="AQ1288" s="99">
        <v>4</v>
      </c>
      <c r="AR1288" s="99">
        <v>4</v>
      </c>
      <c r="AS1288" s="99" t="s">
        <v>404</v>
      </c>
      <c r="AU1288" s="99">
        <v>3645</v>
      </c>
      <c r="AV1288" s="99">
        <v>61.570945945945944</v>
      </c>
      <c r="DA1288" s="99">
        <v>0.55000000000000004</v>
      </c>
      <c r="DB1288" s="99">
        <v>0.36</v>
      </c>
      <c r="DC1288" s="99" t="s">
        <v>1090</v>
      </c>
      <c r="FC1288" s="99">
        <v>59</v>
      </c>
    </row>
    <row r="1289" spans="1:159" s="26" customFormat="1" x14ac:dyDescent="0.25">
      <c r="A1289" s="26">
        <v>59</v>
      </c>
      <c r="B1289" s="26" t="s">
        <v>1054</v>
      </c>
      <c r="C1289" s="26" t="s">
        <v>1055</v>
      </c>
      <c r="D1289" s="26">
        <v>1997</v>
      </c>
      <c r="E1289" s="26">
        <v>1995</v>
      </c>
      <c r="F1289" s="26" t="s">
        <v>1056</v>
      </c>
      <c r="G1289" s="26" t="s">
        <v>1083</v>
      </c>
      <c r="H1289" s="26">
        <v>38.92</v>
      </c>
      <c r="I1289" s="26">
        <v>-76.150000000000006</v>
      </c>
      <c r="J1289" s="26">
        <v>5</v>
      </c>
      <c r="M1289" s="26">
        <v>755</v>
      </c>
      <c r="P1289" s="52" t="s">
        <v>1024</v>
      </c>
      <c r="Q1289" s="52" t="s">
        <v>1057</v>
      </c>
      <c r="R1289" s="52"/>
      <c r="S1289" s="52" t="s">
        <v>1654</v>
      </c>
      <c r="T1289" s="52" t="s">
        <v>1682</v>
      </c>
      <c r="U1289" s="26">
        <v>1.5</v>
      </c>
      <c r="X1289" s="26" t="s">
        <v>168</v>
      </c>
      <c r="AB1289" s="26" t="s">
        <v>1585</v>
      </c>
      <c r="AC1289" s="26" t="s">
        <v>166</v>
      </c>
      <c r="AD1289" s="153" t="str">
        <f t="shared" si="257"/>
        <v>Rye</v>
      </c>
      <c r="AE1289" s="26" t="s">
        <v>167</v>
      </c>
      <c r="AJ1289" s="26" t="s">
        <v>203</v>
      </c>
      <c r="AK1289" s="26" t="s">
        <v>203</v>
      </c>
      <c r="AL1289" s="26" t="s">
        <v>230</v>
      </c>
      <c r="AM1289" s="26" t="s">
        <v>1085</v>
      </c>
      <c r="AN1289" s="26" t="s">
        <v>1085</v>
      </c>
      <c r="AO1289" s="26" t="s">
        <v>230</v>
      </c>
      <c r="AP1289" s="26" t="s">
        <v>154</v>
      </c>
      <c r="AQ1289" s="26">
        <v>4</v>
      </c>
      <c r="AR1289" s="26">
        <v>4</v>
      </c>
      <c r="AS1289" s="26" t="s">
        <v>404</v>
      </c>
      <c r="AU1289" s="26">
        <v>3645</v>
      </c>
      <c r="AV1289" s="26">
        <v>61.570945945945944</v>
      </c>
      <c r="DA1289" s="26">
        <v>5.81</v>
      </c>
      <c r="DB1289" s="26">
        <v>3.78</v>
      </c>
      <c r="DC1289" s="26" t="s">
        <v>1090</v>
      </c>
      <c r="FC1289" s="26">
        <v>59</v>
      </c>
    </row>
    <row r="1290" spans="1:159" s="26" customFormat="1" x14ac:dyDescent="0.25">
      <c r="A1290" s="26">
        <v>59</v>
      </c>
      <c r="B1290" s="26" t="s">
        <v>1054</v>
      </c>
      <c r="C1290" s="26" t="s">
        <v>1055</v>
      </c>
      <c r="D1290" s="26">
        <v>1997</v>
      </c>
      <c r="E1290" s="26">
        <v>1995</v>
      </c>
      <c r="F1290" s="26" t="s">
        <v>1056</v>
      </c>
      <c r="G1290" s="26" t="s">
        <v>1083</v>
      </c>
      <c r="H1290" s="26">
        <v>38.92</v>
      </c>
      <c r="I1290" s="26">
        <v>-76.150000000000006</v>
      </c>
      <c r="J1290" s="26">
        <v>5</v>
      </c>
      <c r="M1290" s="26">
        <v>755</v>
      </c>
      <c r="P1290" s="52" t="s">
        <v>1024</v>
      </c>
      <c r="Q1290" s="52" t="s">
        <v>1057</v>
      </c>
      <c r="R1290" s="52"/>
      <c r="S1290" s="52" t="s">
        <v>1654</v>
      </c>
      <c r="T1290" s="52" t="s">
        <v>1682</v>
      </c>
      <c r="U1290" s="26">
        <v>1.5</v>
      </c>
      <c r="X1290" s="26" t="s">
        <v>168</v>
      </c>
      <c r="AB1290" s="26" t="s">
        <v>1585</v>
      </c>
      <c r="AC1290" s="26" t="s">
        <v>166</v>
      </c>
      <c r="AD1290" s="153" t="str">
        <f t="shared" si="257"/>
        <v>Rye</v>
      </c>
      <c r="AE1290" s="26" t="s">
        <v>167</v>
      </c>
      <c r="AJ1290" s="26" t="s">
        <v>203</v>
      </c>
      <c r="AK1290" s="26" t="s">
        <v>203</v>
      </c>
      <c r="AL1290" s="26" t="s">
        <v>230</v>
      </c>
      <c r="AM1290" s="26" t="s">
        <v>1085</v>
      </c>
      <c r="AN1290" s="26" t="s">
        <v>1085</v>
      </c>
      <c r="AO1290" s="26" t="s">
        <v>230</v>
      </c>
      <c r="AP1290" s="26" t="s">
        <v>154</v>
      </c>
      <c r="AQ1290" s="26">
        <v>4</v>
      </c>
      <c r="AR1290" s="26">
        <v>4</v>
      </c>
      <c r="AS1290" s="26" t="s">
        <v>404</v>
      </c>
      <c r="AU1290" s="26">
        <v>3645</v>
      </c>
      <c r="AV1290" s="26">
        <v>61.570945945945944</v>
      </c>
      <c r="DA1290" s="26">
        <v>16.760000000000002</v>
      </c>
      <c r="DB1290" s="26">
        <v>0.39</v>
      </c>
      <c r="DC1290" s="26" t="s">
        <v>1090</v>
      </c>
      <c r="FC1290" s="26">
        <v>59</v>
      </c>
    </row>
    <row r="1291" spans="1:159" s="26" customFormat="1" x14ac:dyDescent="0.25">
      <c r="A1291" s="26">
        <v>59</v>
      </c>
      <c r="B1291" s="26" t="s">
        <v>1054</v>
      </c>
      <c r="C1291" s="26" t="s">
        <v>1055</v>
      </c>
      <c r="D1291" s="26">
        <v>1997</v>
      </c>
      <c r="E1291" s="26">
        <v>1995</v>
      </c>
      <c r="F1291" s="26" t="s">
        <v>1056</v>
      </c>
      <c r="G1291" s="26" t="s">
        <v>1083</v>
      </c>
      <c r="H1291" s="26">
        <v>38.92</v>
      </c>
      <c r="I1291" s="26">
        <v>-76.150000000000006</v>
      </c>
      <c r="J1291" s="26">
        <v>5</v>
      </c>
      <c r="M1291" s="26">
        <v>755</v>
      </c>
      <c r="P1291" s="52" t="s">
        <v>1024</v>
      </c>
      <c r="Q1291" s="52" t="s">
        <v>1057</v>
      </c>
      <c r="R1291" s="52"/>
      <c r="S1291" s="52" t="s">
        <v>1654</v>
      </c>
      <c r="T1291" s="52" t="s">
        <v>1682</v>
      </c>
      <c r="U1291" s="26">
        <v>1.5</v>
      </c>
      <c r="X1291" s="26" t="s">
        <v>168</v>
      </c>
      <c r="AB1291" s="26" t="s">
        <v>1585</v>
      </c>
      <c r="AC1291" s="26" t="s">
        <v>166</v>
      </c>
      <c r="AD1291" s="153" t="str">
        <f t="shared" si="257"/>
        <v>Rye</v>
      </c>
      <c r="AE1291" s="26" t="s">
        <v>167</v>
      </c>
      <c r="AJ1291" s="26" t="s">
        <v>203</v>
      </c>
      <c r="AK1291" s="26" t="s">
        <v>203</v>
      </c>
      <c r="AL1291" s="26" t="s">
        <v>230</v>
      </c>
      <c r="AM1291" s="26" t="s">
        <v>1085</v>
      </c>
      <c r="AN1291" s="26" t="s">
        <v>1085</v>
      </c>
      <c r="AO1291" s="26" t="s">
        <v>230</v>
      </c>
      <c r="AP1291" s="26" t="s">
        <v>154</v>
      </c>
      <c r="AQ1291" s="26">
        <v>4</v>
      </c>
      <c r="AR1291" s="26">
        <v>4</v>
      </c>
      <c r="AS1291" s="26" t="s">
        <v>404</v>
      </c>
      <c r="AU1291" s="26">
        <v>3645</v>
      </c>
      <c r="AV1291" s="26">
        <v>61.570945945945944</v>
      </c>
      <c r="DA1291" s="26">
        <v>15.75</v>
      </c>
      <c r="DB1291" s="26">
        <v>0.44</v>
      </c>
      <c r="DC1291" s="26" t="s">
        <v>1090</v>
      </c>
      <c r="FC1291" s="26">
        <v>59</v>
      </c>
    </row>
    <row r="1292" spans="1:159" s="26" customFormat="1" x14ac:dyDescent="0.25">
      <c r="A1292" s="26">
        <v>59</v>
      </c>
      <c r="B1292" s="26" t="s">
        <v>1054</v>
      </c>
      <c r="C1292" s="26" t="s">
        <v>1055</v>
      </c>
      <c r="D1292" s="26">
        <v>1997</v>
      </c>
      <c r="E1292" s="26">
        <v>1995</v>
      </c>
      <c r="F1292" s="26" t="s">
        <v>1056</v>
      </c>
      <c r="G1292" s="26" t="s">
        <v>1083</v>
      </c>
      <c r="H1292" s="26">
        <v>38.92</v>
      </c>
      <c r="I1292" s="26">
        <v>-76.150000000000006</v>
      </c>
      <c r="J1292" s="26">
        <v>5</v>
      </c>
      <c r="M1292" s="26">
        <v>755</v>
      </c>
      <c r="P1292" s="52" t="s">
        <v>1024</v>
      </c>
      <c r="Q1292" s="52" t="s">
        <v>1057</v>
      </c>
      <c r="R1292" s="52"/>
      <c r="S1292" s="52" t="s">
        <v>1654</v>
      </c>
      <c r="T1292" s="52" t="s">
        <v>1682</v>
      </c>
      <c r="U1292" s="26">
        <v>1.5</v>
      </c>
      <c r="X1292" s="26" t="s">
        <v>168</v>
      </c>
      <c r="AB1292" s="26" t="s">
        <v>1585</v>
      </c>
      <c r="AC1292" s="26" t="s">
        <v>166</v>
      </c>
      <c r="AD1292" s="153" t="str">
        <f t="shared" si="257"/>
        <v>Rye</v>
      </c>
      <c r="AE1292" s="26" t="s">
        <v>167</v>
      </c>
      <c r="AJ1292" s="26" t="s">
        <v>203</v>
      </c>
      <c r="AK1292" s="26" t="s">
        <v>203</v>
      </c>
      <c r="AL1292" s="26" t="s">
        <v>230</v>
      </c>
      <c r="AM1292" s="26" t="s">
        <v>1085</v>
      </c>
      <c r="AN1292" s="26" t="s">
        <v>1085</v>
      </c>
      <c r="AO1292" s="26" t="s">
        <v>230</v>
      </c>
      <c r="AP1292" s="26" t="s">
        <v>154</v>
      </c>
      <c r="AQ1292" s="26">
        <v>4</v>
      </c>
      <c r="AR1292" s="26">
        <v>4</v>
      </c>
      <c r="AS1292" s="26" t="s">
        <v>404</v>
      </c>
      <c r="AU1292" s="26">
        <v>3645</v>
      </c>
      <c r="AV1292" s="26">
        <v>61.570945945945944</v>
      </c>
      <c r="DA1292" s="26">
        <v>20.45</v>
      </c>
      <c r="DB1292" s="26">
        <v>0.31</v>
      </c>
      <c r="DC1292" s="26" t="s">
        <v>1090</v>
      </c>
      <c r="FC1292" s="26">
        <v>59</v>
      </c>
    </row>
    <row r="1293" spans="1:159" s="26" customFormat="1" x14ac:dyDescent="0.25">
      <c r="A1293" s="26">
        <v>59</v>
      </c>
      <c r="B1293" s="26" t="s">
        <v>1054</v>
      </c>
      <c r="C1293" s="26" t="s">
        <v>1055</v>
      </c>
      <c r="D1293" s="26">
        <v>1997</v>
      </c>
      <c r="E1293" s="26">
        <v>1995</v>
      </c>
      <c r="F1293" s="26" t="s">
        <v>1056</v>
      </c>
      <c r="G1293" s="26" t="s">
        <v>1083</v>
      </c>
      <c r="H1293" s="26">
        <v>38.92</v>
      </c>
      <c r="I1293" s="26">
        <v>-76.150000000000006</v>
      </c>
      <c r="J1293" s="26">
        <v>5</v>
      </c>
      <c r="M1293" s="26">
        <v>755</v>
      </c>
      <c r="P1293" s="52" t="s">
        <v>1024</v>
      </c>
      <c r="Q1293" s="52" t="s">
        <v>1057</v>
      </c>
      <c r="R1293" s="52"/>
      <c r="S1293" s="52" t="s">
        <v>1654</v>
      </c>
      <c r="T1293" s="52" t="s">
        <v>1682</v>
      </c>
      <c r="U1293" s="26">
        <v>1.5</v>
      </c>
      <c r="X1293" s="26" t="s">
        <v>168</v>
      </c>
      <c r="AB1293" s="26" t="s">
        <v>1585</v>
      </c>
      <c r="AC1293" s="26" t="s">
        <v>166</v>
      </c>
      <c r="AD1293" s="153" t="str">
        <f t="shared" si="257"/>
        <v>Rye</v>
      </c>
      <c r="AE1293" s="26" t="s">
        <v>167</v>
      </c>
      <c r="AJ1293" s="26" t="s">
        <v>203</v>
      </c>
      <c r="AK1293" s="26" t="s">
        <v>203</v>
      </c>
      <c r="AL1293" s="26" t="s">
        <v>230</v>
      </c>
      <c r="AM1293" s="26" t="s">
        <v>1085</v>
      </c>
      <c r="AN1293" s="26" t="s">
        <v>1085</v>
      </c>
      <c r="AO1293" s="26" t="s">
        <v>230</v>
      </c>
      <c r="AP1293" s="26" t="s">
        <v>154</v>
      </c>
      <c r="AQ1293" s="26">
        <v>4</v>
      </c>
      <c r="AR1293" s="26">
        <v>4</v>
      </c>
      <c r="AS1293" s="26" t="s">
        <v>404</v>
      </c>
      <c r="AU1293" s="26">
        <v>3645</v>
      </c>
      <c r="AV1293" s="26">
        <v>61.570945945945944</v>
      </c>
      <c r="DA1293" s="26">
        <v>14.45</v>
      </c>
      <c r="DB1293" s="26">
        <v>0.21</v>
      </c>
      <c r="DC1293" s="26" t="s">
        <v>1090</v>
      </c>
      <c r="FC1293" s="26">
        <v>59</v>
      </c>
    </row>
    <row r="1294" spans="1:159" s="26" customFormat="1" x14ac:dyDescent="0.25">
      <c r="A1294" s="26">
        <v>59</v>
      </c>
      <c r="B1294" s="26" t="s">
        <v>1054</v>
      </c>
      <c r="C1294" s="26" t="s">
        <v>1055</v>
      </c>
      <c r="D1294" s="26">
        <v>1997</v>
      </c>
      <c r="E1294" s="26">
        <v>1995</v>
      </c>
      <c r="F1294" s="26" t="s">
        <v>1056</v>
      </c>
      <c r="G1294" s="26" t="s">
        <v>1083</v>
      </c>
      <c r="H1294" s="26">
        <v>38.92</v>
      </c>
      <c r="I1294" s="26">
        <v>-76.150000000000006</v>
      </c>
      <c r="J1294" s="26">
        <v>5</v>
      </c>
      <c r="M1294" s="26">
        <v>755</v>
      </c>
      <c r="P1294" s="52" t="s">
        <v>1024</v>
      </c>
      <c r="Q1294" s="52" t="s">
        <v>1057</v>
      </c>
      <c r="R1294" s="52"/>
      <c r="S1294" s="52" t="s">
        <v>1654</v>
      </c>
      <c r="T1294" s="52" t="s">
        <v>1682</v>
      </c>
      <c r="U1294" s="26">
        <v>1.5</v>
      </c>
      <c r="X1294" s="26" t="s">
        <v>168</v>
      </c>
      <c r="AB1294" s="26" t="s">
        <v>1585</v>
      </c>
      <c r="AC1294" s="26" t="s">
        <v>166</v>
      </c>
      <c r="AD1294" s="153" t="str">
        <f t="shared" si="257"/>
        <v>Rye</v>
      </c>
      <c r="AE1294" s="26" t="s">
        <v>167</v>
      </c>
      <c r="AJ1294" s="26" t="s">
        <v>203</v>
      </c>
      <c r="AK1294" s="26" t="s">
        <v>203</v>
      </c>
      <c r="AL1294" s="26" t="s">
        <v>230</v>
      </c>
      <c r="AM1294" s="26" t="s">
        <v>1085</v>
      </c>
      <c r="AN1294" s="26" t="s">
        <v>1085</v>
      </c>
      <c r="AO1294" s="26" t="s">
        <v>230</v>
      </c>
      <c r="AP1294" s="26" t="s">
        <v>154</v>
      </c>
      <c r="AQ1294" s="26">
        <v>4</v>
      </c>
      <c r="AR1294" s="26">
        <v>4</v>
      </c>
      <c r="AS1294" s="26" t="s">
        <v>404</v>
      </c>
      <c r="AU1294" s="26">
        <v>3645</v>
      </c>
      <c r="AV1294" s="26">
        <v>61.570945945945944</v>
      </c>
      <c r="DA1294" s="26">
        <v>9.17</v>
      </c>
      <c r="DB1294" s="26">
        <v>0.1</v>
      </c>
      <c r="DC1294" s="26" t="s">
        <v>1090</v>
      </c>
      <c r="FC1294" s="26">
        <v>59</v>
      </c>
    </row>
    <row r="1295" spans="1:159" s="26" customFormat="1" x14ac:dyDescent="0.25">
      <c r="A1295" s="26">
        <v>59</v>
      </c>
      <c r="B1295" s="26" t="s">
        <v>1054</v>
      </c>
      <c r="C1295" s="26" t="s">
        <v>1055</v>
      </c>
      <c r="D1295" s="26">
        <v>1997</v>
      </c>
      <c r="E1295" s="26">
        <v>1995</v>
      </c>
      <c r="F1295" s="26" t="s">
        <v>1056</v>
      </c>
      <c r="G1295" s="26" t="s">
        <v>1083</v>
      </c>
      <c r="H1295" s="26">
        <v>38.92</v>
      </c>
      <c r="I1295" s="26">
        <v>-76.150000000000006</v>
      </c>
      <c r="J1295" s="26">
        <v>5</v>
      </c>
      <c r="M1295" s="26">
        <v>755</v>
      </c>
      <c r="P1295" s="52" t="s">
        <v>1024</v>
      </c>
      <c r="Q1295" s="52" t="s">
        <v>1057</v>
      </c>
      <c r="R1295" s="52"/>
      <c r="S1295" s="52" t="s">
        <v>1654</v>
      </c>
      <c r="T1295" s="52" t="s">
        <v>1682</v>
      </c>
      <c r="U1295" s="26">
        <v>1.5</v>
      </c>
      <c r="X1295" s="26" t="s">
        <v>168</v>
      </c>
      <c r="AB1295" s="26" t="s">
        <v>1585</v>
      </c>
      <c r="AC1295" s="26" t="s">
        <v>166</v>
      </c>
      <c r="AD1295" s="153" t="str">
        <f t="shared" si="257"/>
        <v>Rye</v>
      </c>
      <c r="AE1295" s="26" t="s">
        <v>167</v>
      </c>
      <c r="AJ1295" s="26" t="s">
        <v>203</v>
      </c>
      <c r="AK1295" s="26" t="s">
        <v>203</v>
      </c>
      <c r="AL1295" s="26" t="s">
        <v>230</v>
      </c>
      <c r="AM1295" s="26" t="s">
        <v>1085</v>
      </c>
      <c r="AN1295" s="26" t="s">
        <v>1085</v>
      </c>
      <c r="AO1295" s="26" t="s">
        <v>230</v>
      </c>
      <c r="AP1295" s="26" t="s">
        <v>154</v>
      </c>
      <c r="AQ1295" s="26">
        <v>4</v>
      </c>
      <c r="AR1295" s="26">
        <v>4</v>
      </c>
      <c r="AS1295" s="26" t="s">
        <v>404</v>
      </c>
      <c r="AU1295" s="26">
        <v>3645</v>
      </c>
      <c r="AV1295" s="26">
        <v>61.570945945945944</v>
      </c>
      <c r="DA1295" s="26">
        <v>12.47</v>
      </c>
      <c r="DB1295" s="26">
        <v>0.56000000000000005</v>
      </c>
      <c r="DC1295" s="26" t="s">
        <v>1090</v>
      </c>
      <c r="FC1295" s="26">
        <v>59</v>
      </c>
    </row>
    <row r="1296" spans="1:159" s="26" customFormat="1" x14ac:dyDescent="0.25">
      <c r="A1296" s="26">
        <v>59</v>
      </c>
      <c r="B1296" s="26" t="s">
        <v>1054</v>
      </c>
      <c r="C1296" s="26" t="s">
        <v>1055</v>
      </c>
      <c r="D1296" s="26">
        <v>1997</v>
      </c>
      <c r="E1296" s="26">
        <v>1995</v>
      </c>
      <c r="F1296" s="26" t="s">
        <v>1056</v>
      </c>
      <c r="G1296" s="26" t="s">
        <v>1083</v>
      </c>
      <c r="H1296" s="26">
        <v>38.92</v>
      </c>
      <c r="I1296" s="26">
        <v>-76.150000000000006</v>
      </c>
      <c r="J1296" s="26">
        <v>5</v>
      </c>
      <c r="M1296" s="26">
        <v>755</v>
      </c>
      <c r="P1296" s="52" t="s">
        <v>1024</v>
      </c>
      <c r="Q1296" s="52" t="s">
        <v>1057</v>
      </c>
      <c r="R1296" s="52"/>
      <c r="S1296" s="52" t="s">
        <v>1654</v>
      </c>
      <c r="T1296" s="52" t="s">
        <v>1682</v>
      </c>
      <c r="U1296" s="26">
        <v>1.5</v>
      </c>
      <c r="X1296" s="26" t="s">
        <v>168</v>
      </c>
      <c r="AB1296" s="26" t="s">
        <v>1585</v>
      </c>
      <c r="AC1296" s="26" t="s">
        <v>166</v>
      </c>
      <c r="AD1296" s="153" t="str">
        <f t="shared" si="257"/>
        <v>Rye</v>
      </c>
      <c r="AE1296" s="26" t="s">
        <v>167</v>
      </c>
      <c r="AJ1296" s="26" t="s">
        <v>203</v>
      </c>
      <c r="AK1296" s="26" t="s">
        <v>203</v>
      </c>
      <c r="AL1296" s="26" t="s">
        <v>230</v>
      </c>
      <c r="AM1296" s="26" t="s">
        <v>1085</v>
      </c>
      <c r="AN1296" s="26" t="s">
        <v>1085</v>
      </c>
      <c r="AO1296" s="26" t="s">
        <v>230</v>
      </c>
      <c r="AP1296" s="26" t="s">
        <v>154</v>
      </c>
      <c r="AQ1296" s="26">
        <v>4</v>
      </c>
      <c r="AR1296" s="26">
        <v>4</v>
      </c>
      <c r="AS1296" s="26" t="s">
        <v>404</v>
      </c>
      <c r="AU1296" s="26">
        <v>3645</v>
      </c>
      <c r="AV1296" s="26">
        <v>61.570945945945944</v>
      </c>
      <c r="DA1296" s="26">
        <v>12.86</v>
      </c>
      <c r="DB1296" s="26">
        <v>1.23</v>
      </c>
      <c r="DC1296" s="26" t="s">
        <v>1090</v>
      </c>
      <c r="FC1296" s="26">
        <v>59</v>
      </c>
    </row>
    <row r="1297" spans="1:159" s="25" customFormat="1" x14ac:dyDescent="0.25">
      <c r="A1297" s="25">
        <v>59</v>
      </c>
      <c r="B1297" s="25" t="s">
        <v>1054</v>
      </c>
      <c r="C1297" s="25" t="s">
        <v>1055</v>
      </c>
      <c r="D1297" s="25">
        <v>1997</v>
      </c>
      <c r="E1297" s="25">
        <v>1988</v>
      </c>
      <c r="F1297" s="25" t="s">
        <v>1056</v>
      </c>
      <c r="G1297" s="25" t="s">
        <v>1083</v>
      </c>
      <c r="H1297" s="25">
        <v>38.92</v>
      </c>
      <c r="I1297" s="25">
        <v>-76.150000000000006</v>
      </c>
      <c r="J1297" s="25">
        <v>5</v>
      </c>
      <c r="M1297" s="25">
        <v>866</v>
      </c>
      <c r="P1297" s="101" t="s">
        <v>180</v>
      </c>
      <c r="Q1297" s="101" t="s">
        <v>1057</v>
      </c>
      <c r="R1297" s="101" t="s">
        <v>1092</v>
      </c>
      <c r="S1297" s="101" t="s">
        <v>1675</v>
      </c>
      <c r="T1297" s="101" t="s">
        <v>1682</v>
      </c>
      <c r="U1297" s="25">
        <v>1.5</v>
      </c>
      <c r="X1297" s="25" t="s">
        <v>168</v>
      </c>
      <c r="AB1297" s="25" t="s">
        <v>1585</v>
      </c>
      <c r="AC1297" s="25" t="s">
        <v>166</v>
      </c>
      <c r="AD1297" s="153" t="str">
        <f t="shared" si="257"/>
        <v>Rye</v>
      </c>
      <c r="AE1297" s="25" t="s">
        <v>167</v>
      </c>
      <c r="AJ1297" s="25" t="s">
        <v>289</v>
      </c>
      <c r="AK1297" s="25" t="s">
        <v>289</v>
      </c>
      <c r="AL1297" s="25" t="s">
        <v>230</v>
      </c>
      <c r="AM1297" s="25" t="s">
        <v>1085</v>
      </c>
      <c r="AN1297" s="25" t="s">
        <v>1085</v>
      </c>
      <c r="AO1297" s="25" t="s">
        <v>230</v>
      </c>
      <c r="AP1297" s="25" t="s">
        <v>154</v>
      </c>
      <c r="AQ1297" s="25">
        <v>4</v>
      </c>
      <c r="AR1297" s="25">
        <v>4</v>
      </c>
      <c r="AS1297" s="25" t="s">
        <v>404</v>
      </c>
      <c r="BK1297" s="25">
        <v>6.96</v>
      </c>
      <c r="BL1297" s="25">
        <v>6.96</v>
      </c>
      <c r="BM1297" s="25" t="s">
        <v>1093</v>
      </c>
      <c r="FC1297" s="25">
        <v>59</v>
      </c>
    </row>
    <row r="1298" spans="1:159" s="25" customFormat="1" x14ac:dyDescent="0.25">
      <c r="A1298" s="25">
        <v>59</v>
      </c>
      <c r="B1298" s="25" t="s">
        <v>1054</v>
      </c>
      <c r="C1298" s="25" t="s">
        <v>1055</v>
      </c>
      <c r="D1298" s="25">
        <v>1997</v>
      </c>
      <c r="E1298" s="25">
        <v>1989</v>
      </c>
      <c r="F1298" s="25" t="s">
        <v>1056</v>
      </c>
      <c r="G1298" s="25" t="s">
        <v>1083</v>
      </c>
      <c r="H1298" s="25">
        <v>38.92</v>
      </c>
      <c r="I1298" s="25">
        <v>-76.150000000000006</v>
      </c>
      <c r="J1298" s="25">
        <v>5</v>
      </c>
      <c r="M1298" s="25">
        <v>1300</v>
      </c>
      <c r="P1298" s="101" t="s">
        <v>181</v>
      </c>
      <c r="Q1298" s="101" t="s">
        <v>1057</v>
      </c>
      <c r="R1298" s="101" t="s">
        <v>1091</v>
      </c>
      <c r="S1298" s="101" t="s">
        <v>1675</v>
      </c>
      <c r="T1298" s="101" t="s">
        <v>1682</v>
      </c>
      <c r="U1298" s="25">
        <v>1.5</v>
      </c>
      <c r="X1298" s="25" t="s">
        <v>168</v>
      </c>
      <c r="AB1298" s="25" t="s">
        <v>1585</v>
      </c>
      <c r="AC1298" s="25" t="s">
        <v>166</v>
      </c>
      <c r="AD1298" s="153" t="str">
        <f t="shared" si="257"/>
        <v>Rye</v>
      </c>
      <c r="AE1298" s="25" t="s">
        <v>167</v>
      </c>
      <c r="AJ1298" s="25" t="s">
        <v>289</v>
      </c>
      <c r="AK1298" s="25" t="s">
        <v>289</v>
      </c>
      <c r="AL1298" s="25" t="s">
        <v>230</v>
      </c>
      <c r="AM1298" s="25" t="s">
        <v>1085</v>
      </c>
      <c r="AN1298" s="25" t="s">
        <v>1085</v>
      </c>
      <c r="AO1298" s="25" t="s">
        <v>230</v>
      </c>
      <c r="AP1298" s="25" t="s">
        <v>154</v>
      </c>
      <c r="AQ1298" s="25">
        <v>4</v>
      </c>
      <c r="AR1298" s="25">
        <v>4</v>
      </c>
      <c r="AS1298" s="25" t="s">
        <v>404</v>
      </c>
      <c r="BK1298" s="25">
        <v>4.62</v>
      </c>
      <c r="BL1298" s="25">
        <v>0.77</v>
      </c>
      <c r="BM1298" s="25" t="s">
        <v>1093</v>
      </c>
      <c r="FC1298" s="25">
        <v>59</v>
      </c>
    </row>
    <row r="1299" spans="1:159" s="25" customFormat="1" x14ac:dyDescent="0.25">
      <c r="A1299" s="25">
        <v>59</v>
      </c>
      <c r="B1299" s="25" t="s">
        <v>1054</v>
      </c>
      <c r="C1299" s="25" t="s">
        <v>1055</v>
      </c>
      <c r="D1299" s="25">
        <v>1997</v>
      </c>
      <c r="E1299" s="25">
        <v>1989</v>
      </c>
      <c r="F1299" s="25" t="s">
        <v>1056</v>
      </c>
      <c r="G1299" s="25" t="s">
        <v>1083</v>
      </c>
      <c r="H1299" s="25">
        <v>38.92</v>
      </c>
      <c r="I1299" s="25">
        <v>-76.150000000000006</v>
      </c>
      <c r="J1299" s="25">
        <v>5</v>
      </c>
      <c r="M1299" s="25">
        <v>1300</v>
      </c>
      <c r="P1299" s="101" t="s">
        <v>181</v>
      </c>
      <c r="Q1299" s="101" t="s">
        <v>1057</v>
      </c>
      <c r="R1299" s="101" t="s">
        <v>1092</v>
      </c>
      <c r="S1299" s="101" t="s">
        <v>1675</v>
      </c>
      <c r="T1299" s="101" t="s">
        <v>1682</v>
      </c>
      <c r="U1299" s="25">
        <v>1.5</v>
      </c>
      <c r="X1299" s="25" t="s">
        <v>168</v>
      </c>
      <c r="AB1299" s="25" t="s">
        <v>1585</v>
      </c>
      <c r="AC1299" s="25" t="s">
        <v>166</v>
      </c>
      <c r="AD1299" s="153" t="str">
        <f t="shared" si="257"/>
        <v>Rye</v>
      </c>
      <c r="AE1299" s="25" t="s">
        <v>167</v>
      </c>
      <c r="AJ1299" s="25" t="s">
        <v>289</v>
      </c>
      <c r="AK1299" s="25" t="s">
        <v>289</v>
      </c>
      <c r="AL1299" s="25" t="s">
        <v>230</v>
      </c>
      <c r="AM1299" s="25" t="s">
        <v>1085</v>
      </c>
      <c r="AN1299" s="25" t="s">
        <v>1085</v>
      </c>
      <c r="AO1299" s="25" t="s">
        <v>230</v>
      </c>
      <c r="AP1299" s="25" t="s">
        <v>154</v>
      </c>
      <c r="AQ1299" s="25">
        <v>4</v>
      </c>
      <c r="AR1299" s="25">
        <v>4</v>
      </c>
      <c r="AS1299" s="25" t="s">
        <v>404</v>
      </c>
      <c r="BK1299" s="25">
        <v>4.3</v>
      </c>
      <c r="BL1299" s="25">
        <v>1.06</v>
      </c>
      <c r="BM1299" s="25" t="s">
        <v>1093</v>
      </c>
      <c r="FC1299" s="25">
        <v>59</v>
      </c>
    </row>
    <row r="1300" spans="1:159" s="25" customFormat="1" x14ac:dyDescent="0.25">
      <c r="A1300" s="25">
        <v>59</v>
      </c>
      <c r="B1300" s="25" t="s">
        <v>1054</v>
      </c>
      <c r="C1300" s="25" t="s">
        <v>1055</v>
      </c>
      <c r="D1300" s="25">
        <v>1997</v>
      </c>
      <c r="E1300" s="25">
        <v>1990</v>
      </c>
      <c r="F1300" s="25" t="s">
        <v>1056</v>
      </c>
      <c r="G1300" s="25" t="s">
        <v>1083</v>
      </c>
      <c r="H1300" s="25">
        <v>38.92</v>
      </c>
      <c r="I1300" s="25">
        <v>-76.150000000000006</v>
      </c>
      <c r="J1300" s="25">
        <v>5</v>
      </c>
      <c r="M1300" s="25">
        <v>1007</v>
      </c>
      <c r="P1300" s="101" t="s">
        <v>182</v>
      </c>
      <c r="Q1300" s="101" t="s">
        <v>1057</v>
      </c>
      <c r="R1300" s="101" t="s">
        <v>1091</v>
      </c>
      <c r="S1300" s="101" t="s">
        <v>1675</v>
      </c>
      <c r="T1300" s="101" t="s">
        <v>1682</v>
      </c>
      <c r="U1300" s="25">
        <v>1.5</v>
      </c>
      <c r="X1300" s="25" t="s">
        <v>168</v>
      </c>
      <c r="AB1300" s="25" t="s">
        <v>1585</v>
      </c>
      <c r="AC1300" s="25" t="s">
        <v>166</v>
      </c>
      <c r="AD1300" s="153" t="str">
        <f t="shared" si="257"/>
        <v>Rye</v>
      </c>
      <c r="AE1300" s="25" t="s">
        <v>167</v>
      </c>
      <c r="AJ1300" s="25" t="s">
        <v>289</v>
      </c>
      <c r="AK1300" s="25" t="s">
        <v>289</v>
      </c>
      <c r="AL1300" s="25" t="s">
        <v>230</v>
      </c>
      <c r="AM1300" s="25" t="s">
        <v>1085</v>
      </c>
      <c r="AN1300" s="25" t="s">
        <v>1085</v>
      </c>
      <c r="AO1300" s="25" t="s">
        <v>230</v>
      </c>
      <c r="AP1300" s="25" t="s">
        <v>154</v>
      </c>
      <c r="AQ1300" s="25">
        <v>4</v>
      </c>
      <c r="AR1300" s="25">
        <v>4</v>
      </c>
      <c r="AS1300" s="25" t="s">
        <v>404</v>
      </c>
      <c r="AU1300" s="25">
        <v>4048</v>
      </c>
      <c r="AV1300" s="25">
        <f>AU1300/85</f>
        <v>47.623529411764707</v>
      </c>
      <c r="BK1300" s="25">
        <v>3.68</v>
      </c>
      <c r="BL1300" s="25">
        <v>0.9</v>
      </c>
      <c r="BM1300" s="25" t="s">
        <v>1093</v>
      </c>
      <c r="FC1300" s="25">
        <v>59</v>
      </c>
    </row>
    <row r="1301" spans="1:159" s="25" customFormat="1" x14ac:dyDescent="0.25">
      <c r="A1301" s="25">
        <v>59</v>
      </c>
      <c r="B1301" s="25" t="s">
        <v>1054</v>
      </c>
      <c r="C1301" s="25" t="s">
        <v>1055</v>
      </c>
      <c r="D1301" s="25">
        <v>1997</v>
      </c>
      <c r="E1301" s="25">
        <v>1990</v>
      </c>
      <c r="F1301" s="25" t="s">
        <v>1056</v>
      </c>
      <c r="G1301" s="25" t="s">
        <v>1083</v>
      </c>
      <c r="H1301" s="25">
        <v>38.92</v>
      </c>
      <c r="I1301" s="25">
        <v>-76.150000000000006</v>
      </c>
      <c r="J1301" s="25">
        <v>5</v>
      </c>
      <c r="M1301" s="25">
        <v>1007</v>
      </c>
      <c r="P1301" s="101" t="s">
        <v>182</v>
      </c>
      <c r="Q1301" s="101" t="s">
        <v>1057</v>
      </c>
      <c r="R1301" s="101" t="s">
        <v>1092</v>
      </c>
      <c r="S1301" s="101" t="s">
        <v>1675</v>
      </c>
      <c r="T1301" s="101" t="s">
        <v>1682</v>
      </c>
      <c r="U1301" s="25">
        <v>1.5</v>
      </c>
      <c r="X1301" s="25" t="s">
        <v>168</v>
      </c>
      <c r="AB1301" s="25" t="s">
        <v>1585</v>
      </c>
      <c r="AC1301" s="25" t="s">
        <v>166</v>
      </c>
      <c r="AD1301" s="153" t="str">
        <f t="shared" si="257"/>
        <v>Rye</v>
      </c>
      <c r="AE1301" s="25" t="s">
        <v>167</v>
      </c>
      <c r="AJ1301" s="25" t="s">
        <v>289</v>
      </c>
      <c r="AK1301" s="25" t="s">
        <v>289</v>
      </c>
      <c r="AL1301" s="25" t="s">
        <v>230</v>
      </c>
      <c r="AM1301" s="25" t="s">
        <v>1085</v>
      </c>
      <c r="AN1301" s="25" t="s">
        <v>1085</v>
      </c>
      <c r="AO1301" s="25" t="s">
        <v>230</v>
      </c>
      <c r="AP1301" s="25" t="s">
        <v>154</v>
      </c>
      <c r="AQ1301" s="25">
        <v>4</v>
      </c>
      <c r="AR1301" s="25">
        <v>4</v>
      </c>
      <c r="AS1301" s="25" t="s">
        <v>404</v>
      </c>
      <c r="AU1301" s="25">
        <v>4048</v>
      </c>
      <c r="AV1301" s="25">
        <f>AU1301/85</f>
        <v>47.623529411764707</v>
      </c>
      <c r="BK1301" s="25">
        <v>2.2799999999999998</v>
      </c>
      <c r="BL1301" s="25">
        <v>1.44</v>
      </c>
      <c r="BM1301" s="25" t="s">
        <v>1093</v>
      </c>
      <c r="FC1301" s="25">
        <v>59</v>
      </c>
    </row>
    <row r="1302" spans="1:159" s="25" customFormat="1" x14ac:dyDescent="0.25">
      <c r="A1302" s="25">
        <v>59</v>
      </c>
      <c r="B1302" s="25" t="s">
        <v>1054</v>
      </c>
      <c r="C1302" s="25" t="s">
        <v>1055</v>
      </c>
      <c r="D1302" s="25">
        <v>1997</v>
      </c>
      <c r="E1302" s="25">
        <v>1991</v>
      </c>
      <c r="F1302" s="25" t="s">
        <v>1056</v>
      </c>
      <c r="G1302" s="25" t="s">
        <v>1083</v>
      </c>
      <c r="H1302" s="25">
        <v>38.92</v>
      </c>
      <c r="I1302" s="25">
        <v>-76.150000000000006</v>
      </c>
      <c r="J1302" s="25">
        <v>5</v>
      </c>
      <c r="M1302" s="25">
        <v>997</v>
      </c>
      <c r="P1302" s="101" t="s">
        <v>183</v>
      </c>
      <c r="Q1302" s="101" t="s">
        <v>1057</v>
      </c>
      <c r="R1302" s="101" t="s">
        <v>1091</v>
      </c>
      <c r="S1302" s="101" t="s">
        <v>1675</v>
      </c>
      <c r="T1302" s="101" t="s">
        <v>1682</v>
      </c>
      <c r="U1302" s="25">
        <v>1.5</v>
      </c>
      <c r="X1302" s="25" t="s">
        <v>168</v>
      </c>
      <c r="AB1302" s="25" t="s">
        <v>1585</v>
      </c>
      <c r="AC1302" s="25" t="s">
        <v>166</v>
      </c>
      <c r="AD1302" s="153" t="str">
        <f t="shared" si="257"/>
        <v>Rye</v>
      </c>
      <c r="AE1302" s="25" t="s">
        <v>167</v>
      </c>
      <c r="AJ1302" s="25" t="s">
        <v>289</v>
      </c>
      <c r="AK1302" s="25" t="s">
        <v>289</v>
      </c>
      <c r="AL1302" s="25" t="s">
        <v>230</v>
      </c>
      <c r="AM1302" s="25" t="s">
        <v>1085</v>
      </c>
      <c r="AN1302" s="25" t="s">
        <v>1085</v>
      </c>
      <c r="AO1302" s="25" t="s">
        <v>230</v>
      </c>
      <c r="AP1302" s="25" t="s">
        <v>154</v>
      </c>
      <c r="AQ1302" s="25">
        <v>4</v>
      </c>
      <c r="AR1302" s="25">
        <v>4</v>
      </c>
      <c r="AS1302" s="25" t="s">
        <v>404</v>
      </c>
      <c r="AU1302" s="25">
        <v>1793</v>
      </c>
      <c r="AV1302" s="25">
        <f>AU1302/25.9</f>
        <v>69.227799227799238</v>
      </c>
      <c r="BK1302" s="25">
        <v>4.57</v>
      </c>
      <c r="BL1302" s="25">
        <v>0.32</v>
      </c>
      <c r="BM1302" s="25" t="s">
        <v>1093</v>
      </c>
      <c r="FC1302" s="25">
        <v>59</v>
      </c>
    </row>
    <row r="1303" spans="1:159" s="25" customFormat="1" x14ac:dyDescent="0.25">
      <c r="A1303" s="25">
        <v>59</v>
      </c>
      <c r="B1303" s="25" t="s">
        <v>1054</v>
      </c>
      <c r="C1303" s="25" t="s">
        <v>1055</v>
      </c>
      <c r="D1303" s="25">
        <v>1997</v>
      </c>
      <c r="E1303" s="25">
        <v>1991</v>
      </c>
      <c r="F1303" s="25" t="s">
        <v>1056</v>
      </c>
      <c r="G1303" s="25" t="s">
        <v>1083</v>
      </c>
      <c r="H1303" s="25">
        <v>38.92</v>
      </c>
      <c r="I1303" s="25">
        <v>-76.150000000000006</v>
      </c>
      <c r="J1303" s="25">
        <v>5</v>
      </c>
      <c r="M1303" s="25">
        <v>997</v>
      </c>
      <c r="P1303" s="101" t="s">
        <v>183</v>
      </c>
      <c r="Q1303" s="101" t="s">
        <v>1057</v>
      </c>
      <c r="R1303" s="101" t="s">
        <v>1092</v>
      </c>
      <c r="S1303" s="101" t="s">
        <v>1675</v>
      </c>
      <c r="T1303" s="101" t="s">
        <v>1682</v>
      </c>
      <c r="U1303" s="25">
        <v>1.5</v>
      </c>
      <c r="X1303" s="25" t="s">
        <v>168</v>
      </c>
      <c r="AB1303" s="25" t="s">
        <v>1585</v>
      </c>
      <c r="AC1303" s="25" t="s">
        <v>166</v>
      </c>
      <c r="AD1303" s="153" t="str">
        <f t="shared" si="257"/>
        <v>Rye</v>
      </c>
      <c r="AE1303" s="25" t="s">
        <v>167</v>
      </c>
      <c r="AJ1303" s="25" t="s">
        <v>289</v>
      </c>
      <c r="AK1303" s="25" t="s">
        <v>289</v>
      </c>
      <c r="AL1303" s="25" t="s">
        <v>230</v>
      </c>
      <c r="AM1303" s="25" t="s">
        <v>1085</v>
      </c>
      <c r="AN1303" s="25" t="s">
        <v>1085</v>
      </c>
      <c r="AO1303" s="25" t="s">
        <v>230</v>
      </c>
      <c r="AP1303" s="25" t="s">
        <v>154</v>
      </c>
      <c r="AQ1303" s="25">
        <v>4</v>
      </c>
      <c r="AR1303" s="25">
        <v>4</v>
      </c>
      <c r="AS1303" s="25" t="s">
        <v>404</v>
      </c>
      <c r="AU1303" s="25">
        <v>1793</v>
      </c>
      <c r="AV1303" s="25">
        <f>AU1303/25.9</f>
        <v>69.227799227799238</v>
      </c>
      <c r="BK1303" s="25">
        <v>2.2400000000000002</v>
      </c>
      <c r="BL1303" s="25">
        <v>1.68</v>
      </c>
      <c r="BM1303" s="25" t="s">
        <v>1093</v>
      </c>
      <c r="FC1303" s="25">
        <v>59</v>
      </c>
    </row>
    <row r="1304" spans="1:159" s="25" customFormat="1" x14ac:dyDescent="0.25">
      <c r="A1304" s="25">
        <v>59</v>
      </c>
      <c r="B1304" s="25" t="s">
        <v>1054</v>
      </c>
      <c r="C1304" s="25" t="s">
        <v>1055</v>
      </c>
      <c r="D1304" s="25">
        <v>1997</v>
      </c>
      <c r="E1304" s="25">
        <v>1992</v>
      </c>
      <c r="F1304" s="25" t="s">
        <v>1056</v>
      </c>
      <c r="G1304" s="25" t="s">
        <v>1083</v>
      </c>
      <c r="H1304" s="25">
        <v>38.92</v>
      </c>
      <c r="I1304" s="25">
        <v>-76.150000000000006</v>
      </c>
      <c r="J1304" s="25">
        <v>5</v>
      </c>
      <c r="M1304" s="25">
        <v>866</v>
      </c>
      <c r="P1304" s="101" t="s">
        <v>200</v>
      </c>
      <c r="Q1304" s="101" t="s">
        <v>1057</v>
      </c>
      <c r="R1304" s="101" t="s">
        <v>1091</v>
      </c>
      <c r="S1304" s="101" t="s">
        <v>1675</v>
      </c>
      <c r="T1304" s="101" t="s">
        <v>1682</v>
      </c>
      <c r="U1304" s="25">
        <v>1.5</v>
      </c>
      <c r="X1304" s="25" t="s">
        <v>168</v>
      </c>
      <c r="AB1304" s="25" t="s">
        <v>1585</v>
      </c>
      <c r="AC1304" s="25" t="s">
        <v>166</v>
      </c>
      <c r="AD1304" s="153" t="str">
        <f t="shared" si="257"/>
        <v>Rye</v>
      </c>
      <c r="AE1304" s="25" t="s">
        <v>167</v>
      </c>
      <c r="AJ1304" s="25" t="s">
        <v>289</v>
      </c>
      <c r="AK1304" s="25" t="s">
        <v>289</v>
      </c>
      <c r="AL1304" s="25" t="s">
        <v>230</v>
      </c>
      <c r="AM1304" s="25" t="s">
        <v>1085</v>
      </c>
      <c r="AN1304" s="25" t="s">
        <v>1085</v>
      </c>
      <c r="AO1304" s="25" t="s">
        <v>230</v>
      </c>
      <c r="AP1304" s="25" t="s">
        <v>154</v>
      </c>
      <c r="AQ1304" s="25">
        <v>4</v>
      </c>
      <c r="AR1304" s="25">
        <v>4</v>
      </c>
      <c r="AS1304" s="25" t="s">
        <v>404</v>
      </c>
      <c r="AU1304" s="25">
        <v>2053</v>
      </c>
      <c r="AV1304" s="25">
        <f>AU1304/40.5</f>
        <v>50.691358024691361</v>
      </c>
      <c r="BK1304" s="25">
        <v>4.51</v>
      </c>
      <c r="BL1304" s="25">
        <v>0.33</v>
      </c>
      <c r="BM1304" s="25" t="s">
        <v>1093</v>
      </c>
      <c r="FC1304" s="25">
        <v>59</v>
      </c>
    </row>
    <row r="1305" spans="1:159" s="25" customFormat="1" x14ac:dyDescent="0.25">
      <c r="A1305" s="25">
        <v>59</v>
      </c>
      <c r="B1305" s="25" t="s">
        <v>1054</v>
      </c>
      <c r="C1305" s="25" t="s">
        <v>1055</v>
      </c>
      <c r="D1305" s="25">
        <v>1997</v>
      </c>
      <c r="E1305" s="25">
        <v>1992</v>
      </c>
      <c r="F1305" s="25" t="s">
        <v>1056</v>
      </c>
      <c r="G1305" s="25" t="s">
        <v>1083</v>
      </c>
      <c r="H1305" s="25">
        <v>38.92</v>
      </c>
      <c r="I1305" s="25">
        <v>-76.150000000000006</v>
      </c>
      <c r="J1305" s="25">
        <v>5</v>
      </c>
      <c r="M1305" s="25">
        <v>866</v>
      </c>
      <c r="P1305" s="101" t="s">
        <v>200</v>
      </c>
      <c r="Q1305" s="101" t="s">
        <v>1057</v>
      </c>
      <c r="R1305" s="101" t="s">
        <v>1092</v>
      </c>
      <c r="S1305" s="101" t="s">
        <v>1675</v>
      </c>
      <c r="T1305" s="101" t="s">
        <v>1682</v>
      </c>
      <c r="U1305" s="25">
        <v>1.5</v>
      </c>
      <c r="X1305" s="25" t="s">
        <v>168</v>
      </c>
      <c r="AB1305" s="25" t="s">
        <v>1585</v>
      </c>
      <c r="AC1305" s="25" t="s">
        <v>166</v>
      </c>
      <c r="AD1305" s="153" t="str">
        <f t="shared" si="257"/>
        <v>Rye</v>
      </c>
      <c r="AE1305" s="25" t="s">
        <v>167</v>
      </c>
      <c r="AJ1305" s="25" t="s">
        <v>289</v>
      </c>
      <c r="AK1305" s="25" t="s">
        <v>289</v>
      </c>
      <c r="AL1305" s="25" t="s">
        <v>230</v>
      </c>
      <c r="AM1305" s="25" t="s">
        <v>1085</v>
      </c>
      <c r="AN1305" s="25" t="s">
        <v>1085</v>
      </c>
      <c r="AO1305" s="25" t="s">
        <v>230</v>
      </c>
      <c r="AP1305" s="25" t="s">
        <v>154</v>
      </c>
      <c r="AQ1305" s="25">
        <v>4</v>
      </c>
      <c r="AR1305" s="25">
        <v>4</v>
      </c>
      <c r="AS1305" s="25" t="s">
        <v>404</v>
      </c>
      <c r="AU1305" s="25">
        <v>2053</v>
      </c>
      <c r="AV1305" s="25">
        <f>AU1305/40.5</f>
        <v>50.691358024691361</v>
      </c>
      <c r="BK1305" s="25">
        <v>0.62</v>
      </c>
      <c r="BL1305" s="25">
        <v>0.48</v>
      </c>
      <c r="BM1305" s="25" t="s">
        <v>1093</v>
      </c>
      <c r="FC1305" s="25">
        <v>59</v>
      </c>
    </row>
    <row r="1306" spans="1:159" s="25" customFormat="1" x14ac:dyDescent="0.25">
      <c r="A1306" s="25">
        <v>59</v>
      </c>
      <c r="B1306" s="25" t="s">
        <v>1054</v>
      </c>
      <c r="C1306" s="25" t="s">
        <v>1055</v>
      </c>
      <c r="D1306" s="25">
        <v>1997</v>
      </c>
      <c r="E1306" s="25">
        <v>1993</v>
      </c>
      <c r="F1306" s="25" t="s">
        <v>1056</v>
      </c>
      <c r="G1306" s="25" t="s">
        <v>1083</v>
      </c>
      <c r="H1306" s="25">
        <v>38.92</v>
      </c>
      <c r="I1306" s="25">
        <v>-76.150000000000006</v>
      </c>
      <c r="J1306" s="25">
        <v>5</v>
      </c>
      <c r="M1306" s="25">
        <v>972</v>
      </c>
      <c r="P1306" s="101" t="s">
        <v>1022</v>
      </c>
      <c r="Q1306" s="101" t="s">
        <v>1057</v>
      </c>
      <c r="R1306" s="101" t="s">
        <v>1091</v>
      </c>
      <c r="S1306" s="101" t="s">
        <v>1675</v>
      </c>
      <c r="T1306" s="101" t="s">
        <v>1682</v>
      </c>
      <c r="U1306" s="25">
        <v>1.5</v>
      </c>
      <c r="X1306" s="25" t="s">
        <v>168</v>
      </c>
      <c r="AB1306" s="25" t="s">
        <v>1585</v>
      </c>
      <c r="AC1306" s="25" t="s">
        <v>166</v>
      </c>
      <c r="AD1306" s="153" t="str">
        <f t="shared" si="257"/>
        <v>Rye</v>
      </c>
      <c r="AE1306" s="25" t="s">
        <v>167</v>
      </c>
      <c r="AJ1306" s="25" t="s">
        <v>289</v>
      </c>
      <c r="AK1306" s="25" t="s">
        <v>289</v>
      </c>
      <c r="AL1306" s="25" t="s">
        <v>230</v>
      </c>
      <c r="AM1306" s="25" t="s">
        <v>1085</v>
      </c>
      <c r="AN1306" s="25" t="s">
        <v>1085</v>
      </c>
      <c r="AO1306" s="25" t="s">
        <v>230</v>
      </c>
      <c r="AP1306" s="25" t="s">
        <v>154</v>
      </c>
      <c r="AQ1306" s="25">
        <v>4</v>
      </c>
      <c r="AR1306" s="25">
        <v>4</v>
      </c>
      <c r="AS1306" s="25" t="s">
        <v>404</v>
      </c>
      <c r="AU1306" s="25">
        <v>1873</v>
      </c>
      <c r="AV1306" s="25">
        <f>AU1306/37.3</f>
        <v>50.21447721179625</v>
      </c>
      <c r="BK1306" s="25">
        <v>0.9</v>
      </c>
      <c r="BL1306" s="25">
        <v>0.26</v>
      </c>
      <c r="BM1306" s="25" t="s">
        <v>1093</v>
      </c>
      <c r="FC1306" s="25">
        <v>59</v>
      </c>
    </row>
    <row r="1307" spans="1:159" s="25" customFormat="1" x14ac:dyDescent="0.25">
      <c r="A1307" s="25">
        <v>59</v>
      </c>
      <c r="B1307" s="25" t="s">
        <v>1054</v>
      </c>
      <c r="C1307" s="25" t="s">
        <v>1055</v>
      </c>
      <c r="D1307" s="25">
        <v>1997</v>
      </c>
      <c r="E1307" s="25">
        <v>1993</v>
      </c>
      <c r="F1307" s="25" t="s">
        <v>1056</v>
      </c>
      <c r="G1307" s="25" t="s">
        <v>1083</v>
      </c>
      <c r="H1307" s="25">
        <v>38.92</v>
      </c>
      <c r="I1307" s="25">
        <v>-76.150000000000006</v>
      </c>
      <c r="J1307" s="25">
        <v>5</v>
      </c>
      <c r="M1307" s="25">
        <v>972</v>
      </c>
      <c r="P1307" s="101" t="s">
        <v>1022</v>
      </c>
      <c r="Q1307" s="101" t="s">
        <v>1057</v>
      </c>
      <c r="R1307" s="101" t="s">
        <v>1092</v>
      </c>
      <c r="S1307" s="101" t="s">
        <v>1675</v>
      </c>
      <c r="T1307" s="101" t="s">
        <v>1682</v>
      </c>
      <c r="U1307" s="25">
        <v>1.5</v>
      </c>
      <c r="X1307" s="25" t="s">
        <v>168</v>
      </c>
      <c r="AB1307" s="25" t="s">
        <v>1585</v>
      </c>
      <c r="AC1307" s="25" t="s">
        <v>166</v>
      </c>
      <c r="AD1307" s="153" t="str">
        <f t="shared" si="257"/>
        <v>Rye</v>
      </c>
      <c r="AE1307" s="25" t="s">
        <v>167</v>
      </c>
      <c r="AJ1307" s="25" t="s">
        <v>289</v>
      </c>
      <c r="AK1307" s="25" t="s">
        <v>289</v>
      </c>
      <c r="AL1307" s="25" t="s">
        <v>230</v>
      </c>
      <c r="AM1307" s="25" t="s">
        <v>1085</v>
      </c>
      <c r="AN1307" s="25" t="s">
        <v>1085</v>
      </c>
      <c r="AO1307" s="25" t="s">
        <v>230</v>
      </c>
      <c r="AP1307" s="25" t="s">
        <v>154</v>
      </c>
      <c r="AQ1307" s="25">
        <v>4</v>
      </c>
      <c r="AR1307" s="25">
        <v>4</v>
      </c>
      <c r="AS1307" s="25" t="s">
        <v>404</v>
      </c>
      <c r="AU1307" s="25">
        <v>1873</v>
      </c>
      <c r="AV1307" s="25">
        <f>AU1307/37.3</f>
        <v>50.21447721179625</v>
      </c>
      <c r="BK1307" s="25">
        <v>0.39</v>
      </c>
      <c r="BL1307" s="25">
        <v>0.28000000000000003</v>
      </c>
      <c r="BM1307" s="25" t="s">
        <v>1093</v>
      </c>
      <c r="FC1307" s="25">
        <v>59</v>
      </c>
    </row>
    <row r="1308" spans="1:159" s="25" customFormat="1" x14ac:dyDescent="0.25">
      <c r="A1308" s="25">
        <v>59</v>
      </c>
      <c r="B1308" s="25" t="s">
        <v>1054</v>
      </c>
      <c r="C1308" s="25" t="s">
        <v>1055</v>
      </c>
      <c r="D1308" s="25">
        <v>1997</v>
      </c>
      <c r="E1308" s="25">
        <v>1994</v>
      </c>
      <c r="F1308" s="25" t="s">
        <v>1056</v>
      </c>
      <c r="G1308" s="25" t="s">
        <v>1083</v>
      </c>
      <c r="H1308" s="25">
        <v>38.92</v>
      </c>
      <c r="I1308" s="25">
        <v>-76.150000000000006</v>
      </c>
      <c r="J1308" s="25">
        <v>5</v>
      </c>
      <c r="M1308" s="25">
        <v>1275</v>
      </c>
      <c r="P1308" s="101" t="s">
        <v>1023</v>
      </c>
      <c r="Q1308" s="101" t="s">
        <v>1057</v>
      </c>
      <c r="R1308" s="101" t="s">
        <v>1091</v>
      </c>
      <c r="S1308" s="101" t="s">
        <v>1675</v>
      </c>
      <c r="T1308" s="101" t="s">
        <v>1682</v>
      </c>
      <c r="U1308" s="25">
        <v>1.5</v>
      </c>
      <c r="X1308" s="25" t="s">
        <v>168</v>
      </c>
      <c r="AB1308" s="25" t="s">
        <v>1585</v>
      </c>
      <c r="AC1308" s="25" t="s">
        <v>166</v>
      </c>
      <c r="AD1308" s="153" t="str">
        <f t="shared" si="257"/>
        <v>Rye</v>
      </c>
      <c r="AE1308" s="25" t="s">
        <v>167</v>
      </c>
      <c r="AJ1308" s="25" t="s">
        <v>289</v>
      </c>
      <c r="AK1308" s="25" t="s">
        <v>289</v>
      </c>
      <c r="AL1308" s="25" t="s">
        <v>230</v>
      </c>
      <c r="AM1308" s="25" t="s">
        <v>1085</v>
      </c>
      <c r="AN1308" s="25" t="s">
        <v>1085</v>
      </c>
      <c r="AO1308" s="25" t="s">
        <v>230</v>
      </c>
      <c r="AP1308" s="25" t="s">
        <v>154</v>
      </c>
      <c r="AQ1308" s="25">
        <v>4</v>
      </c>
      <c r="AR1308" s="25">
        <v>4</v>
      </c>
      <c r="AS1308" s="25" t="s">
        <v>404</v>
      </c>
      <c r="AU1308" s="25">
        <v>3645</v>
      </c>
      <c r="AV1308" s="25">
        <f>AU1308/59.2</f>
        <v>61.570945945945944</v>
      </c>
      <c r="BK1308" s="25">
        <v>1.77</v>
      </c>
      <c r="BL1308" s="25">
        <v>0.44</v>
      </c>
      <c r="BM1308" s="25" t="s">
        <v>1093</v>
      </c>
      <c r="FC1308" s="25">
        <v>59</v>
      </c>
    </row>
    <row r="1309" spans="1:159" s="25" customFormat="1" x14ac:dyDescent="0.25">
      <c r="A1309" s="25">
        <v>59</v>
      </c>
      <c r="B1309" s="25" t="s">
        <v>1054</v>
      </c>
      <c r="C1309" s="25" t="s">
        <v>1055</v>
      </c>
      <c r="D1309" s="25">
        <v>1997</v>
      </c>
      <c r="E1309" s="25">
        <v>1994</v>
      </c>
      <c r="F1309" s="25" t="s">
        <v>1056</v>
      </c>
      <c r="G1309" s="25" t="s">
        <v>1083</v>
      </c>
      <c r="H1309" s="25">
        <v>38.92</v>
      </c>
      <c r="I1309" s="25">
        <v>-76.150000000000006</v>
      </c>
      <c r="J1309" s="25">
        <v>5</v>
      </c>
      <c r="M1309" s="25">
        <v>1275</v>
      </c>
      <c r="P1309" s="101" t="s">
        <v>1023</v>
      </c>
      <c r="Q1309" s="101" t="s">
        <v>1057</v>
      </c>
      <c r="R1309" s="101" t="s">
        <v>1092</v>
      </c>
      <c r="S1309" s="101" t="s">
        <v>1675</v>
      </c>
      <c r="T1309" s="101" t="s">
        <v>1682</v>
      </c>
      <c r="U1309" s="25">
        <v>1.5</v>
      </c>
      <c r="X1309" s="25" t="s">
        <v>168</v>
      </c>
      <c r="AB1309" s="25" t="s">
        <v>1585</v>
      </c>
      <c r="AC1309" s="25" t="s">
        <v>166</v>
      </c>
      <c r="AD1309" s="153" t="str">
        <f t="shared" si="257"/>
        <v>Rye</v>
      </c>
      <c r="AE1309" s="25" t="s">
        <v>167</v>
      </c>
      <c r="AJ1309" s="25" t="s">
        <v>289</v>
      </c>
      <c r="AK1309" s="25" t="s">
        <v>289</v>
      </c>
      <c r="AL1309" s="25" t="s">
        <v>230</v>
      </c>
      <c r="AM1309" s="25" t="s">
        <v>1085</v>
      </c>
      <c r="AN1309" s="25" t="s">
        <v>1085</v>
      </c>
      <c r="AO1309" s="25" t="s">
        <v>230</v>
      </c>
      <c r="AP1309" s="25" t="s">
        <v>154</v>
      </c>
      <c r="AQ1309" s="25">
        <v>4</v>
      </c>
      <c r="AR1309" s="25">
        <v>4</v>
      </c>
      <c r="AS1309" s="25" t="s">
        <v>404</v>
      </c>
      <c r="AU1309" s="25">
        <v>3645</v>
      </c>
      <c r="AV1309" s="25">
        <f>AU1309/59.2</f>
        <v>61.570945945945944</v>
      </c>
      <c r="BK1309" s="25">
        <v>0.84</v>
      </c>
      <c r="BL1309" s="25">
        <v>0.35</v>
      </c>
      <c r="BM1309" s="25" t="s">
        <v>1093</v>
      </c>
      <c r="FC1309" s="25">
        <v>59</v>
      </c>
    </row>
    <row r="1310" spans="1:159" s="97" customFormat="1" x14ac:dyDescent="0.25">
      <c r="A1310" s="97">
        <v>59</v>
      </c>
      <c r="B1310" s="97" t="s">
        <v>1054</v>
      </c>
      <c r="C1310" s="97" t="s">
        <v>1055</v>
      </c>
      <c r="D1310" s="97">
        <v>1997</v>
      </c>
      <c r="E1310" s="97">
        <v>1989</v>
      </c>
      <c r="F1310" s="97" t="s">
        <v>1056</v>
      </c>
      <c r="G1310" s="97" t="s">
        <v>1083</v>
      </c>
      <c r="H1310" s="97">
        <v>38.92</v>
      </c>
      <c r="I1310" s="97">
        <v>-76.150000000000006</v>
      </c>
      <c r="J1310" s="97">
        <v>5</v>
      </c>
      <c r="M1310" s="97">
        <v>1300</v>
      </c>
      <c r="P1310" s="98" t="s">
        <v>181</v>
      </c>
      <c r="Q1310" s="98" t="s">
        <v>1057</v>
      </c>
      <c r="R1310" s="98" t="s">
        <v>1091</v>
      </c>
      <c r="S1310" s="98" t="s">
        <v>1675</v>
      </c>
      <c r="T1310" s="98" t="s">
        <v>1682</v>
      </c>
      <c r="U1310" s="97">
        <v>1.5</v>
      </c>
      <c r="X1310" s="97" t="s">
        <v>168</v>
      </c>
      <c r="AB1310" s="97" t="s">
        <v>1585</v>
      </c>
      <c r="AC1310" s="97" t="s">
        <v>166</v>
      </c>
      <c r="AD1310" s="153" t="str">
        <f t="shared" si="257"/>
        <v>Rye</v>
      </c>
      <c r="AE1310" s="97" t="s">
        <v>167</v>
      </c>
      <c r="AJ1310" s="97" t="s">
        <v>203</v>
      </c>
      <c r="AK1310" s="97" t="s">
        <v>203</v>
      </c>
      <c r="AL1310" s="97" t="s">
        <v>230</v>
      </c>
      <c r="AM1310" s="97" t="s">
        <v>1085</v>
      </c>
      <c r="AN1310" s="97" t="s">
        <v>1085</v>
      </c>
      <c r="AO1310" s="97" t="s">
        <v>230</v>
      </c>
      <c r="AP1310" s="97" t="s">
        <v>154</v>
      </c>
      <c r="AQ1310" s="97">
        <v>4</v>
      </c>
      <c r="AR1310" s="97">
        <v>4</v>
      </c>
      <c r="AS1310" s="97" t="s">
        <v>404</v>
      </c>
      <c r="BK1310" s="97">
        <v>1.82</v>
      </c>
      <c r="BL1310" s="97">
        <v>0.37</v>
      </c>
      <c r="BM1310" s="97" t="s">
        <v>1093</v>
      </c>
      <c r="FC1310" s="97">
        <v>59</v>
      </c>
    </row>
    <row r="1311" spans="1:159" s="97" customFormat="1" x14ac:dyDescent="0.25">
      <c r="A1311" s="97">
        <v>59</v>
      </c>
      <c r="B1311" s="97" t="s">
        <v>1054</v>
      </c>
      <c r="C1311" s="97" t="s">
        <v>1055</v>
      </c>
      <c r="D1311" s="97">
        <v>1997</v>
      </c>
      <c r="E1311" s="97">
        <v>1989</v>
      </c>
      <c r="F1311" s="97" t="s">
        <v>1056</v>
      </c>
      <c r="G1311" s="97" t="s">
        <v>1083</v>
      </c>
      <c r="H1311" s="97">
        <v>38.92</v>
      </c>
      <c r="I1311" s="97">
        <v>-76.150000000000006</v>
      </c>
      <c r="J1311" s="97">
        <v>5</v>
      </c>
      <c r="M1311" s="97">
        <v>1300</v>
      </c>
      <c r="P1311" s="98" t="s">
        <v>181</v>
      </c>
      <c r="Q1311" s="98" t="s">
        <v>1057</v>
      </c>
      <c r="R1311" s="98" t="s">
        <v>1092</v>
      </c>
      <c r="S1311" s="98" t="s">
        <v>1675</v>
      </c>
      <c r="T1311" s="98" t="s">
        <v>1682</v>
      </c>
      <c r="U1311" s="97">
        <v>1.5</v>
      </c>
      <c r="X1311" s="97" t="s">
        <v>168</v>
      </c>
      <c r="AB1311" s="97" t="s">
        <v>1585</v>
      </c>
      <c r="AC1311" s="97" t="s">
        <v>166</v>
      </c>
      <c r="AD1311" s="153" t="str">
        <f t="shared" si="257"/>
        <v>Rye</v>
      </c>
      <c r="AE1311" s="97" t="s">
        <v>167</v>
      </c>
      <c r="AJ1311" s="97" t="s">
        <v>203</v>
      </c>
      <c r="AK1311" s="97" t="s">
        <v>203</v>
      </c>
      <c r="AL1311" s="97" t="s">
        <v>230</v>
      </c>
      <c r="AM1311" s="97" t="s">
        <v>1085</v>
      </c>
      <c r="AN1311" s="97" t="s">
        <v>1085</v>
      </c>
      <c r="AO1311" s="97" t="s">
        <v>230</v>
      </c>
      <c r="AP1311" s="97" t="s">
        <v>154</v>
      </c>
      <c r="AQ1311" s="97">
        <v>4</v>
      </c>
      <c r="AR1311" s="97">
        <v>4</v>
      </c>
      <c r="AS1311" s="97" t="s">
        <v>404</v>
      </c>
      <c r="BK1311" s="97">
        <v>2.92</v>
      </c>
      <c r="BL1311" s="97">
        <v>2.67</v>
      </c>
      <c r="BM1311" s="97" t="s">
        <v>1093</v>
      </c>
      <c r="FC1311" s="97">
        <v>59</v>
      </c>
    </row>
    <row r="1312" spans="1:159" s="97" customFormat="1" x14ac:dyDescent="0.25">
      <c r="A1312" s="97">
        <v>59</v>
      </c>
      <c r="B1312" s="97" t="s">
        <v>1054</v>
      </c>
      <c r="C1312" s="97" t="s">
        <v>1055</v>
      </c>
      <c r="D1312" s="97">
        <v>1997</v>
      </c>
      <c r="E1312" s="97">
        <v>1990</v>
      </c>
      <c r="F1312" s="97" t="s">
        <v>1056</v>
      </c>
      <c r="G1312" s="97" t="s">
        <v>1083</v>
      </c>
      <c r="H1312" s="97">
        <v>38.92</v>
      </c>
      <c r="I1312" s="97">
        <v>-76.150000000000006</v>
      </c>
      <c r="J1312" s="97">
        <v>5</v>
      </c>
      <c r="M1312" s="97">
        <v>1007</v>
      </c>
      <c r="P1312" s="98" t="s">
        <v>182</v>
      </c>
      <c r="Q1312" s="98" t="s">
        <v>1057</v>
      </c>
      <c r="R1312" s="98" t="s">
        <v>1091</v>
      </c>
      <c r="S1312" s="98" t="s">
        <v>1675</v>
      </c>
      <c r="T1312" s="98" t="s">
        <v>1682</v>
      </c>
      <c r="U1312" s="97">
        <v>1.5</v>
      </c>
      <c r="X1312" s="97" t="s">
        <v>168</v>
      </c>
      <c r="AB1312" s="97" t="s">
        <v>1585</v>
      </c>
      <c r="AC1312" s="97" t="s">
        <v>166</v>
      </c>
      <c r="AD1312" s="153" t="str">
        <f t="shared" si="257"/>
        <v>Rye</v>
      </c>
      <c r="AE1312" s="97" t="s">
        <v>167</v>
      </c>
      <c r="AJ1312" s="97" t="s">
        <v>203</v>
      </c>
      <c r="AK1312" s="97" t="s">
        <v>203</v>
      </c>
      <c r="AL1312" s="97" t="s">
        <v>230</v>
      </c>
      <c r="AM1312" s="97" t="s">
        <v>1085</v>
      </c>
      <c r="AN1312" s="97" t="s">
        <v>1085</v>
      </c>
      <c r="AO1312" s="97" t="s">
        <v>230</v>
      </c>
      <c r="AP1312" s="97" t="s">
        <v>154</v>
      </c>
      <c r="AQ1312" s="97">
        <v>4</v>
      </c>
      <c r="AR1312" s="97">
        <v>4</v>
      </c>
      <c r="AS1312" s="97" t="s">
        <v>404</v>
      </c>
      <c r="AU1312" s="97">
        <v>4048</v>
      </c>
      <c r="AV1312" s="97">
        <f>AU1312/85</f>
        <v>47.623529411764707</v>
      </c>
      <c r="BK1312" s="97">
        <v>3.03</v>
      </c>
      <c r="BL1312" s="97">
        <v>0.49</v>
      </c>
      <c r="BM1312" s="97" t="s">
        <v>1093</v>
      </c>
      <c r="FC1312" s="97">
        <v>59</v>
      </c>
    </row>
    <row r="1313" spans="1:159" s="97" customFormat="1" x14ac:dyDescent="0.25">
      <c r="A1313" s="97">
        <v>59</v>
      </c>
      <c r="B1313" s="97" t="s">
        <v>1054</v>
      </c>
      <c r="C1313" s="97" t="s">
        <v>1055</v>
      </c>
      <c r="D1313" s="97">
        <v>1997</v>
      </c>
      <c r="E1313" s="97">
        <v>1990</v>
      </c>
      <c r="F1313" s="97" t="s">
        <v>1056</v>
      </c>
      <c r="G1313" s="97" t="s">
        <v>1083</v>
      </c>
      <c r="H1313" s="97">
        <v>38.92</v>
      </c>
      <c r="I1313" s="97">
        <v>-76.150000000000006</v>
      </c>
      <c r="J1313" s="97">
        <v>5</v>
      </c>
      <c r="M1313" s="97">
        <v>1007</v>
      </c>
      <c r="P1313" s="98" t="s">
        <v>182</v>
      </c>
      <c r="Q1313" s="98" t="s">
        <v>1057</v>
      </c>
      <c r="R1313" s="98" t="s">
        <v>1092</v>
      </c>
      <c r="S1313" s="98" t="s">
        <v>1675</v>
      </c>
      <c r="T1313" s="98" t="s">
        <v>1682</v>
      </c>
      <c r="U1313" s="97">
        <v>1.5</v>
      </c>
      <c r="X1313" s="97" t="s">
        <v>168</v>
      </c>
      <c r="AB1313" s="97" t="s">
        <v>1585</v>
      </c>
      <c r="AC1313" s="97" t="s">
        <v>166</v>
      </c>
      <c r="AD1313" s="153" t="str">
        <f t="shared" si="257"/>
        <v>Rye</v>
      </c>
      <c r="AE1313" s="97" t="s">
        <v>167</v>
      </c>
      <c r="AJ1313" s="97" t="s">
        <v>203</v>
      </c>
      <c r="AK1313" s="97" t="s">
        <v>203</v>
      </c>
      <c r="AL1313" s="97" t="s">
        <v>230</v>
      </c>
      <c r="AM1313" s="97" t="s">
        <v>1085</v>
      </c>
      <c r="AN1313" s="97" t="s">
        <v>1085</v>
      </c>
      <c r="AO1313" s="97" t="s">
        <v>230</v>
      </c>
      <c r="AP1313" s="97" t="s">
        <v>154</v>
      </c>
      <c r="AQ1313" s="97">
        <v>4</v>
      </c>
      <c r="AR1313" s="97">
        <v>4</v>
      </c>
      <c r="AS1313" s="97" t="s">
        <v>404</v>
      </c>
      <c r="AU1313" s="97">
        <v>4048</v>
      </c>
      <c r="AV1313" s="97">
        <f>AU1313/85</f>
        <v>47.623529411764707</v>
      </c>
      <c r="BK1313" s="97">
        <v>1.54</v>
      </c>
      <c r="BL1313" s="97">
        <v>0.73</v>
      </c>
      <c r="BM1313" s="97" t="s">
        <v>1093</v>
      </c>
      <c r="FC1313" s="97">
        <v>59</v>
      </c>
    </row>
    <row r="1314" spans="1:159" s="97" customFormat="1" x14ac:dyDescent="0.25">
      <c r="A1314" s="97">
        <v>59</v>
      </c>
      <c r="B1314" s="97" t="s">
        <v>1054</v>
      </c>
      <c r="C1314" s="97" t="s">
        <v>1055</v>
      </c>
      <c r="D1314" s="97">
        <v>1997</v>
      </c>
      <c r="E1314" s="97">
        <v>1991</v>
      </c>
      <c r="F1314" s="97" t="s">
        <v>1056</v>
      </c>
      <c r="G1314" s="97" t="s">
        <v>1083</v>
      </c>
      <c r="H1314" s="97">
        <v>38.92</v>
      </c>
      <c r="I1314" s="97">
        <v>-76.150000000000006</v>
      </c>
      <c r="J1314" s="97">
        <v>5</v>
      </c>
      <c r="M1314" s="97">
        <v>997</v>
      </c>
      <c r="P1314" s="98" t="s">
        <v>183</v>
      </c>
      <c r="Q1314" s="98" t="s">
        <v>1057</v>
      </c>
      <c r="R1314" s="98" t="s">
        <v>1091</v>
      </c>
      <c r="S1314" s="98" t="s">
        <v>1675</v>
      </c>
      <c r="T1314" s="98" t="s">
        <v>1682</v>
      </c>
      <c r="U1314" s="97">
        <v>1.5</v>
      </c>
      <c r="X1314" s="97" t="s">
        <v>168</v>
      </c>
      <c r="AB1314" s="97" t="s">
        <v>1585</v>
      </c>
      <c r="AC1314" s="97" t="s">
        <v>166</v>
      </c>
      <c r="AD1314" s="153" t="str">
        <f t="shared" si="257"/>
        <v>Rye</v>
      </c>
      <c r="AE1314" s="97" t="s">
        <v>167</v>
      </c>
      <c r="AJ1314" s="97" t="s">
        <v>203</v>
      </c>
      <c r="AK1314" s="97" t="s">
        <v>203</v>
      </c>
      <c r="AL1314" s="97" t="s">
        <v>230</v>
      </c>
      <c r="AM1314" s="97" t="s">
        <v>1085</v>
      </c>
      <c r="AN1314" s="97" t="s">
        <v>1085</v>
      </c>
      <c r="AO1314" s="97" t="s">
        <v>230</v>
      </c>
      <c r="AP1314" s="97" t="s">
        <v>154</v>
      </c>
      <c r="AQ1314" s="97">
        <v>4</v>
      </c>
      <c r="AR1314" s="97">
        <v>4</v>
      </c>
      <c r="AS1314" s="97" t="s">
        <v>404</v>
      </c>
      <c r="AU1314" s="97">
        <v>1793</v>
      </c>
      <c r="AV1314" s="97">
        <f>AU1314/25.9</f>
        <v>69.227799227799238</v>
      </c>
      <c r="BK1314" s="97">
        <v>3.64</v>
      </c>
      <c r="BL1314" s="97">
        <v>0.22</v>
      </c>
      <c r="BM1314" s="97" t="s">
        <v>1093</v>
      </c>
      <c r="FC1314" s="97">
        <v>59</v>
      </c>
    </row>
    <row r="1315" spans="1:159" s="97" customFormat="1" x14ac:dyDescent="0.25">
      <c r="A1315" s="97">
        <v>59</v>
      </c>
      <c r="B1315" s="97" t="s">
        <v>1054</v>
      </c>
      <c r="C1315" s="97" t="s">
        <v>1055</v>
      </c>
      <c r="D1315" s="97">
        <v>1997</v>
      </c>
      <c r="E1315" s="97">
        <v>1991</v>
      </c>
      <c r="F1315" s="97" t="s">
        <v>1056</v>
      </c>
      <c r="G1315" s="97" t="s">
        <v>1083</v>
      </c>
      <c r="H1315" s="97">
        <v>38.92</v>
      </c>
      <c r="I1315" s="97">
        <v>-76.150000000000006</v>
      </c>
      <c r="J1315" s="97">
        <v>5</v>
      </c>
      <c r="M1315" s="97">
        <v>997</v>
      </c>
      <c r="P1315" s="98" t="s">
        <v>183</v>
      </c>
      <c r="Q1315" s="98" t="s">
        <v>1057</v>
      </c>
      <c r="R1315" s="98" t="s">
        <v>1092</v>
      </c>
      <c r="S1315" s="98" t="s">
        <v>1675</v>
      </c>
      <c r="T1315" s="98" t="s">
        <v>1682</v>
      </c>
      <c r="U1315" s="97">
        <v>1.5</v>
      </c>
      <c r="X1315" s="97" t="s">
        <v>168</v>
      </c>
      <c r="AB1315" s="97" t="s">
        <v>1585</v>
      </c>
      <c r="AC1315" s="97" t="s">
        <v>166</v>
      </c>
      <c r="AD1315" s="153" t="str">
        <f t="shared" si="257"/>
        <v>Rye</v>
      </c>
      <c r="AE1315" s="97" t="s">
        <v>167</v>
      </c>
      <c r="AJ1315" s="97" t="s">
        <v>203</v>
      </c>
      <c r="AK1315" s="97" t="s">
        <v>203</v>
      </c>
      <c r="AL1315" s="97" t="s">
        <v>230</v>
      </c>
      <c r="AM1315" s="97" t="s">
        <v>1085</v>
      </c>
      <c r="AN1315" s="97" t="s">
        <v>1085</v>
      </c>
      <c r="AO1315" s="97" t="s">
        <v>230</v>
      </c>
      <c r="AP1315" s="97" t="s">
        <v>154</v>
      </c>
      <c r="AQ1315" s="97">
        <v>4</v>
      </c>
      <c r="AR1315" s="97">
        <v>4</v>
      </c>
      <c r="AS1315" s="97" t="s">
        <v>404</v>
      </c>
      <c r="AU1315" s="97">
        <v>1793</v>
      </c>
      <c r="AV1315" s="97">
        <f>AU1315/25.9</f>
        <v>69.227799227799238</v>
      </c>
      <c r="BK1315" s="97">
        <v>2.57</v>
      </c>
      <c r="BL1315" s="97">
        <v>1.03</v>
      </c>
      <c r="BM1315" s="97" t="s">
        <v>1093</v>
      </c>
      <c r="FC1315" s="97">
        <v>59</v>
      </c>
    </row>
    <row r="1316" spans="1:159" s="97" customFormat="1" x14ac:dyDescent="0.25">
      <c r="A1316" s="97">
        <v>59</v>
      </c>
      <c r="B1316" s="97" t="s">
        <v>1054</v>
      </c>
      <c r="C1316" s="97" t="s">
        <v>1055</v>
      </c>
      <c r="D1316" s="97">
        <v>1997</v>
      </c>
      <c r="E1316" s="97">
        <v>1992</v>
      </c>
      <c r="F1316" s="97" t="s">
        <v>1056</v>
      </c>
      <c r="G1316" s="97" t="s">
        <v>1083</v>
      </c>
      <c r="H1316" s="97">
        <v>38.92</v>
      </c>
      <c r="I1316" s="97">
        <v>-76.150000000000006</v>
      </c>
      <c r="J1316" s="97">
        <v>5</v>
      </c>
      <c r="M1316" s="97">
        <v>866</v>
      </c>
      <c r="P1316" s="98" t="s">
        <v>200</v>
      </c>
      <c r="Q1316" s="98" t="s">
        <v>1057</v>
      </c>
      <c r="R1316" s="98" t="s">
        <v>1091</v>
      </c>
      <c r="S1316" s="98" t="s">
        <v>1675</v>
      </c>
      <c r="T1316" s="98" t="s">
        <v>1682</v>
      </c>
      <c r="U1316" s="97">
        <v>1.5</v>
      </c>
      <c r="X1316" s="97" t="s">
        <v>168</v>
      </c>
      <c r="AB1316" s="97" t="s">
        <v>1585</v>
      </c>
      <c r="AC1316" s="97" t="s">
        <v>166</v>
      </c>
      <c r="AD1316" s="153" t="str">
        <f t="shared" si="257"/>
        <v>Rye</v>
      </c>
      <c r="AE1316" s="97" t="s">
        <v>167</v>
      </c>
      <c r="AJ1316" s="97" t="s">
        <v>203</v>
      </c>
      <c r="AK1316" s="97" t="s">
        <v>203</v>
      </c>
      <c r="AL1316" s="97" t="s">
        <v>230</v>
      </c>
      <c r="AM1316" s="97" t="s">
        <v>1085</v>
      </c>
      <c r="AN1316" s="97" t="s">
        <v>1085</v>
      </c>
      <c r="AO1316" s="97" t="s">
        <v>230</v>
      </c>
      <c r="AP1316" s="97" t="s">
        <v>154</v>
      </c>
      <c r="AQ1316" s="97">
        <v>4</v>
      </c>
      <c r="AR1316" s="97">
        <v>4</v>
      </c>
      <c r="AS1316" s="97" t="s">
        <v>404</v>
      </c>
      <c r="AU1316" s="97">
        <v>2053</v>
      </c>
      <c r="AV1316" s="97">
        <f>AU1316/40.5</f>
        <v>50.691358024691361</v>
      </c>
      <c r="BK1316" s="97">
        <v>3.67</v>
      </c>
      <c r="BL1316" s="97">
        <v>0.14000000000000001</v>
      </c>
      <c r="BM1316" s="97" t="s">
        <v>1093</v>
      </c>
      <c r="FC1316" s="97">
        <v>59</v>
      </c>
    </row>
    <row r="1317" spans="1:159" s="97" customFormat="1" x14ac:dyDescent="0.25">
      <c r="A1317" s="97">
        <v>59</v>
      </c>
      <c r="B1317" s="97" t="s">
        <v>1054</v>
      </c>
      <c r="C1317" s="97" t="s">
        <v>1055</v>
      </c>
      <c r="D1317" s="97">
        <v>1997</v>
      </c>
      <c r="E1317" s="97">
        <v>1992</v>
      </c>
      <c r="F1317" s="97" t="s">
        <v>1056</v>
      </c>
      <c r="G1317" s="97" t="s">
        <v>1083</v>
      </c>
      <c r="H1317" s="97">
        <v>38.92</v>
      </c>
      <c r="I1317" s="97">
        <v>-76.150000000000006</v>
      </c>
      <c r="J1317" s="97">
        <v>5</v>
      </c>
      <c r="M1317" s="97">
        <v>866</v>
      </c>
      <c r="P1317" s="98" t="s">
        <v>200</v>
      </c>
      <c r="Q1317" s="98" t="s">
        <v>1057</v>
      </c>
      <c r="R1317" s="98" t="s">
        <v>1092</v>
      </c>
      <c r="S1317" s="98" t="s">
        <v>1675</v>
      </c>
      <c r="T1317" s="98" t="s">
        <v>1682</v>
      </c>
      <c r="U1317" s="97">
        <v>1.5</v>
      </c>
      <c r="X1317" s="97" t="s">
        <v>168</v>
      </c>
      <c r="AB1317" s="97" t="s">
        <v>1585</v>
      </c>
      <c r="AC1317" s="97" t="s">
        <v>166</v>
      </c>
      <c r="AD1317" s="153" t="str">
        <f t="shared" si="257"/>
        <v>Rye</v>
      </c>
      <c r="AE1317" s="97" t="s">
        <v>167</v>
      </c>
      <c r="AJ1317" s="97" t="s">
        <v>203</v>
      </c>
      <c r="AK1317" s="97" t="s">
        <v>203</v>
      </c>
      <c r="AL1317" s="97" t="s">
        <v>230</v>
      </c>
      <c r="AM1317" s="97" t="s">
        <v>1085</v>
      </c>
      <c r="AN1317" s="97" t="s">
        <v>1085</v>
      </c>
      <c r="AO1317" s="97" t="s">
        <v>230</v>
      </c>
      <c r="AP1317" s="97" t="s">
        <v>154</v>
      </c>
      <c r="AQ1317" s="97">
        <v>4</v>
      </c>
      <c r="AR1317" s="97">
        <v>4</v>
      </c>
      <c r="AS1317" s="97" t="s">
        <v>404</v>
      </c>
      <c r="AU1317" s="97">
        <v>2053</v>
      </c>
      <c r="AV1317" s="97">
        <f>AU1317/40.5</f>
        <v>50.691358024691361</v>
      </c>
      <c r="BK1317" s="97">
        <v>0.81</v>
      </c>
      <c r="BL1317" s="97">
        <v>0.34</v>
      </c>
      <c r="BM1317" s="97" t="s">
        <v>1093</v>
      </c>
      <c r="FC1317" s="97">
        <v>59</v>
      </c>
    </row>
    <row r="1318" spans="1:159" s="97" customFormat="1" x14ac:dyDescent="0.25">
      <c r="A1318" s="97">
        <v>59</v>
      </c>
      <c r="B1318" s="97" t="s">
        <v>1054</v>
      </c>
      <c r="C1318" s="97" t="s">
        <v>1055</v>
      </c>
      <c r="D1318" s="97">
        <v>1997</v>
      </c>
      <c r="E1318" s="97">
        <v>1993</v>
      </c>
      <c r="F1318" s="97" t="s">
        <v>1056</v>
      </c>
      <c r="G1318" s="97" t="s">
        <v>1083</v>
      </c>
      <c r="H1318" s="97">
        <v>38.92</v>
      </c>
      <c r="I1318" s="97">
        <v>-76.150000000000006</v>
      </c>
      <c r="J1318" s="97">
        <v>5</v>
      </c>
      <c r="M1318" s="97">
        <v>972</v>
      </c>
      <c r="P1318" s="98" t="s">
        <v>1022</v>
      </c>
      <c r="Q1318" s="98" t="s">
        <v>1057</v>
      </c>
      <c r="R1318" s="98" t="s">
        <v>1091</v>
      </c>
      <c r="S1318" s="98" t="s">
        <v>1675</v>
      </c>
      <c r="T1318" s="98" t="s">
        <v>1682</v>
      </c>
      <c r="U1318" s="97">
        <v>1.5</v>
      </c>
      <c r="X1318" s="97" t="s">
        <v>168</v>
      </c>
      <c r="AB1318" s="97" t="s">
        <v>1585</v>
      </c>
      <c r="AC1318" s="97" t="s">
        <v>166</v>
      </c>
      <c r="AD1318" s="153" t="str">
        <f t="shared" si="257"/>
        <v>Rye</v>
      </c>
      <c r="AE1318" s="97" t="s">
        <v>167</v>
      </c>
      <c r="AJ1318" s="97" t="s">
        <v>203</v>
      </c>
      <c r="AK1318" s="97" t="s">
        <v>203</v>
      </c>
      <c r="AL1318" s="97" t="s">
        <v>230</v>
      </c>
      <c r="AM1318" s="97" t="s">
        <v>1085</v>
      </c>
      <c r="AN1318" s="97" t="s">
        <v>1085</v>
      </c>
      <c r="AO1318" s="97" t="s">
        <v>230</v>
      </c>
      <c r="AP1318" s="97" t="s">
        <v>154</v>
      </c>
      <c r="AQ1318" s="97">
        <v>4</v>
      </c>
      <c r="AR1318" s="97">
        <v>4</v>
      </c>
      <c r="AS1318" s="97" t="s">
        <v>404</v>
      </c>
      <c r="AU1318" s="97">
        <v>1873</v>
      </c>
      <c r="AV1318" s="97">
        <f>AU1318/37.3</f>
        <v>50.21447721179625</v>
      </c>
      <c r="BK1318" s="97">
        <v>2.04</v>
      </c>
      <c r="BL1318" s="97">
        <v>0.3</v>
      </c>
      <c r="BM1318" s="97" t="s">
        <v>1093</v>
      </c>
      <c r="FC1318" s="97">
        <v>59</v>
      </c>
    </row>
    <row r="1319" spans="1:159" s="97" customFormat="1" x14ac:dyDescent="0.25">
      <c r="A1319" s="97">
        <v>59</v>
      </c>
      <c r="B1319" s="97" t="s">
        <v>1054</v>
      </c>
      <c r="C1319" s="97" t="s">
        <v>1055</v>
      </c>
      <c r="D1319" s="97">
        <v>1997</v>
      </c>
      <c r="E1319" s="97">
        <v>1993</v>
      </c>
      <c r="F1319" s="97" t="s">
        <v>1056</v>
      </c>
      <c r="G1319" s="97" t="s">
        <v>1083</v>
      </c>
      <c r="H1319" s="97">
        <v>38.92</v>
      </c>
      <c r="I1319" s="97">
        <v>-76.150000000000006</v>
      </c>
      <c r="J1319" s="97">
        <v>5</v>
      </c>
      <c r="M1319" s="97">
        <v>972</v>
      </c>
      <c r="P1319" s="98" t="s">
        <v>1022</v>
      </c>
      <c r="Q1319" s="98" t="s">
        <v>1057</v>
      </c>
      <c r="R1319" s="98" t="s">
        <v>1092</v>
      </c>
      <c r="S1319" s="98" t="s">
        <v>1675</v>
      </c>
      <c r="T1319" s="98" t="s">
        <v>1682</v>
      </c>
      <c r="U1319" s="97">
        <v>1.5</v>
      </c>
      <c r="X1319" s="97" t="s">
        <v>168</v>
      </c>
      <c r="AB1319" s="97" t="s">
        <v>1585</v>
      </c>
      <c r="AC1319" s="97" t="s">
        <v>166</v>
      </c>
      <c r="AD1319" s="153" t="str">
        <f t="shared" si="257"/>
        <v>Rye</v>
      </c>
      <c r="AE1319" s="97" t="s">
        <v>167</v>
      </c>
      <c r="AJ1319" s="97" t="s">
        <v>203</v>
      </c>
      <c r="AK1319" s="97" t="s">
        <v>203</v>
      </c>
      <c r="AL1319" s="97" t="s">
        <v>230</v>
      </c>
      <c r="AM1319" s="97" t="s">
        <v>1085</v>
      </c>
      <c r="AN1319" s="97" t="s">
        <v>1085</v>
      </c>
      <c r="AO1319" s="97" t="s">
        <v>230</v>
      </c>
      <c r="AP1319" s="97" t="s">
        <v>154</v>
      </c>
      <c r="AQ1319" s="97">
        <v>4</v>
      </c>
      <c r="AR1319" s="97">
        <v>4</v>
      </c>
      <c r="AS1319" s="97" t="s">
        <v>404</v>
      </c>
      <c r="AU1319" s="97">
        <v>1873</v>
      </c>
      <c r="AV1319" s="97">
        <f>AU1319/37.3</f>
        <v>50.21447721179625</v>
      </c>
      <c r="BK1319" s="97">
        <v>0.48</v>
      </c>
      <c r="BL1319" s="97">
        <v>0.19</v>
      </c>
      <c r="BM1319" s="97" t="s">
        <v>1093</v>
      </c>
      <c r="FC1319" s="97">
        <v>59</v>
      </c>
    </row>
    <row r="1320" spans="1:159" s="97" customFormat="1" x14ac:dyDescent="0.25">
      <c r="A1320" s="97">
        <v>59</v>
      </c>
      <c r="B1320" s="97" t="s">
        <v>1054</v>
      </c>
      <c r="C1320" s="97" t="s">
        <v>1055</v>
      </c>
      <c r="D1320" s="97">
        <v>1997</v>
      </c>
      <c r="E1320" s="97">
        <v>1994</v>
      </c>
      <c r="F1320" s="97" t="s">
        <v>1056</v>
      </c>
      <c r="G1320" s="97" t="s">
        <v>1083</v>
      </c>
      <c r="H1320" s="97">
        <v>38.92</v>
      </c>
      <c r="I1320" s="97">
        <v>-76.150000000000006</v>
      </c>
      <c r="J1320" s="97">
        <v>5</v>
      </c>
      <c r="M1320" s="97">
        <v>1275</v>
      </c>
      <c r="P1320" s="98" t="s">
        <v>1023</v>
      </c>
      <c r="Q1320" s="98" t="s">
        <v>1057</v>
      </c>
      <c r="R1320" s="98" t="s">
        <v>1091</v>
      </c>
      <c r="S1320" s="98" t="s">
        <v>1675</v>
      </c>
      <c r="T1320" s="98" t="s">
        <v>1682</v>
      </c>
      <c r="U1320" s="97">
        <v>1.5</v>
      </c>
      <c r="X1320" s="97" t="s">
        <v>168</v>
      </c>
      <c r="AB1320" s="97" t="s">
        <v>1585</v>
      </c>
      <c r="AC1320" s="97" t="s">
        <v>166</v>
      </c>
      <c r="AD1320" s="153" t="str">
        <f t="shared" si="257"/>
        <v>Rye</v>
      </c>
      <c r="AE1320" s="97" t="s">
        <v>167</v>
      </c>
      <c r="AJ1320" s="97" t="s">
        <v>203</v>
      </c>
      <c r="AK1320" s="97" t="s">
        <v>203</v>
      </c>
      <c r="AL1320" s="97" t="s">
        <v>230</v>
      </c>
      <c r="AM1320" s="97" t="s">
        <v>1085</v>
      </c>
      <c r="AN1320" s="97" t="s">
        <v>1085</v>
      </c>
      <c r="AO1320" s="97" t="s">
        <v>230</v>
      </c>
      <c r="AP1320" s="97" t="s">
        <v>154</v>
      </c>
      <c r="AQ1320" s="97">
        <v>4</v>
      </c>
      <c r="AR1320" s="97">
        <v>4</v>
      </c>
      <c r="AS1320" s="97" t="s">
        <v>404</v>
      </c>
      <c r="AU1320" s="97">
        <v>3645</v>
      </c>
      <c r="AV1320" s="97">
        <f>AU1320/59.2</f>
        <v>61.570945945945944</v>
      </c>
      <c r="BK1320" s="97">
        <v>1.53</v>
      </c>
      <c r="BL1320" s="97">
        <v>0.19</v>
      </c>
      <c r="BM1320" s="97" t="s">
        <v>1093</v>
      </c>
      <c r="FC1320" s="97">
        <v>59</v>
      </c>
    </row>
    <row r="1321" spans="1:159" s="97" customFormat="1" x14ac:dyDescent="0.25">
      <c r="A1321" s="97">
        <v>59</v>
      </c>
      <c r="B1321" s="97" t="s">
        <v>1054</v>
      </c>
      <c r="C1321" s="97" t="s">
        <v>1055</v>
      </c>
      <c r="D1321" s="97">
        <v>1997</v>
      </c>
      <c r="E1321" s="97">
        <v>1994</v>
      </c>
      <c r="F1321" s="97" t="s">
        <v>1056</v>
      </c>
      <c r="G1321" s="97" t="s">
        <v>1083</v>
      </c>
      <c r="H1321" s="97">
        <v>38.92</v>
      </c>
      <c r="I1321" s="97">
        <v>-76.150000000000006</v>
      </c>
      <c r="J1321" s="97">
        <v>5</v>
      </c>
      <c r="M1321" s="97">
        <v>1275</v>
      </c>
      <c r="P1321" s="98" t="s">
        <v>1023</v>
      </c>
      <c r="Q1321" s="98" t="s">
        <v>1057</v>
      </c>
      <c r="R1321" s="98" t="s">
        <v>1092</v>
      </c>
      <c r="S1321" s="98" t="s">
        <v>1675</v>
      </c>
      <c r="T1321" s="98" t="s">
        <v>1682</v>
      </c>
      <c r="U1321" s="97">
        <v>1.5</v>
      </c>
      <c r="X1321" s="97" t="s">
        <v>168</v>
      </c>
      <c r="AB1321" s="97" t="s">
        <v>1585</v>
      </c>
      <c r="AC1321" s="97" t="s">
        <v>166</v>
      </c>
      <c r="AD1321" s="153" t="str">
        <f t="shared" si="257"/>
        <v>Rye</v>
      </c>
      <c r="AE1321" s="97" t="s">
        <v>167</v>
      </c>
      <c r="AJ1321" s="97" t="s">
        <v>203</v>
      </c>
      <c r="AK1321" s="97" t="s">
        <v>203</v>
      </c>
      <c r="AL1321" s="97" t="s">
        <v>230</v>
      </c>
      <c r="AM1321" s="97" t="s">
        <v>1085</v>
      </c>
      <c r="AN1321" s="97" t="s">
        <v>1085</v>
      </c>
      <c r="AO1321" s="97" t="s">
        <v>230</v>
      </c>
      <c r="AP1321" s="97" t="s">
        <v>154</v>
      </c>
      <c r="AQ1321" s="97">
        <v>4</v>
      </c>
      <c r="AR1321" s="97">
        <v>4</v>
      </c>
      <c r="AS1321" s="97" t="s">
        <v>404</v>
      </c>
      <c r="AU1321" s="97">
        <v>3645</v>
      </c>
      <c r="AV1321" s="97">
        <f>AU1321/59.2</f>
        <v>61.570945945945944</v>
      </c>
      <c r="BK1321" s="97">
        <v>0.24</v>
      </c>
      <c r="BL1321" s="97">
        <v>0.24</v>
      </c>
      <c r="BM1321" s="97" t="s">
        <v>1093</v>
      </c>
      <c r="FC1321" s="97">
        <v>59</v>
      </c>
    </row>
    <row r="1322" spans="1:159" x14ac:dyDescent="0.25">
      <c r="A1322" s="46">
        <v>60</v>
      </c>
      <c r="B1322" s="46" t="s">
        <v>1094</v>
      </c>
      <c r="C1322" s="46" t="s">
        <v>1095</v>
      </c>
      <c r="D1322" s="46">
        <v>2012</v>
      </c>
      <c r="E1322" s="46">
        <v>2005</v>
      </c>
      <c r="F1322" s="46" t="s">
        <v>193</v>
      </c>
      <c r="G1322" s="46" t="s">
        <v>1096</v>
      </c>
      <c r="H1322" s="46">
        <f t="shared" ref="H1322:H1329" si="258">38+37/60</f>
        <v>38.616666666666667</v>
      </c>
      <c r="I1322" s="46">
        <f t="shared" ref="I1322:I1329" si="259">-76-44/60</f>
        <v>-76.733333333333334</v>
      </c>
      <c r="J1322" s="46">
        <v>25.4</v>
      </c>
      <c r="P1322" s="81" t="s">
        <v>179</v>
      </c>
      <c r="Q1322" s="81" t="s">
        <v>1057</v>
      </c>
      <c r="R1322" s="81" t="s">
        <v>1099</v>
      </c>
      <c r="S1322" s="81" t="s">
        <v>1653</v>
      </c>
      <c r="T1322" s="81" t="s">
        <v>1653</v>
      </c>
      <c r="U1322" s="46">
        <v>1.37</v>
      </c>
      <c r="X1322" s="46" t="s">
        <v>168</v>
      </c>
      <c r="AB1322" s="46" t="s">
        <v>1586</v>
      </c>
      <c r="AC1322" s="46" t="s">
        <v>166</v>
      </c>
      <c r="AD1322" s="153" t="str">
        <f t="shared" si="257"/>
        <v>Rye</v>
      </c>
      <c r="AE1322" s="46" t="s">
        <v>167</v>
      </c>
      <c r="AJ1322" s="46" t="s">
        <v>203</v>
      </c>
      <c r="AK1322" s="46" t="s">
        <v>203</v>
      </c>
      <c r="AL1322" s="46" t="s">
        <v>230</v>
      </c>
      <c r="AM1322" s="46" t="s">
        <v>1098</v>
      </c>
      <c r="AN1322" s="46">
        <v>0</v>
      </c>
      <c r="AO1322" s="46" t="s">
        <v>618</v>
      </c>
      <c r="AP1322" s="46" t="s">
        <v>208</v>
      </c>
      <c r="AQ1322" s="46">
        <v>4</v>
      </c>
      <c r="AR1322" s="46">
        <v>4</v>
      </c>
      <c r="AS1322" s="46" t="s">
        <v>177</v>
      </c>
      <c r="AX1322" s="46" t="s">
        <v>1101</v>
      </c>
      <c r="BB1322" s="46">
        <v>7997</v>
      </c>
      <c r="BC1322" s="46">
        <v>7827</v>
      </c>
      <c r="BE1322" s="46">
        <v>1.41</v>
      </c>
      <c r="BF1322" s="46">
        <v>1.427</v>
      </c>
      <c r="BH1322" s="46">
        <v>0.186</v>
      </c>
      <c r="BI1322" s="46">
        <v>0.20899999999999999</v>
      </c>
      <c r="BJ1322" s="46" t="s">
        <v>1108</v>
      </c>
      <c r="CF1322" s="46">
        <v>44.55</v>
      </c>
      <c r="CG1322" s="46">
        <v>59.59</v>
      </c>
      <c r="CH1322" s="46" t="s">
        <v>1104</v>
      </c>
      <c r="CI1322" s="46">
        <v>5.94</v>
      </c>
      <c r="CJ1322" s="46">
        <v>4.67</v>
      </c>
      <c r="CK1322" s="46" t="s">
        <v>1116</v>
      </c>
      <c r="CO1322" s="46">
        <f>0.868*3600</f>
        <v>3124.8</v>
      </c>
      <c r="CP1322" s="46">
        <f>2.3*3600</f>
        <v>8280</v>
      </c>
      <c r="CQ1322" s="46" t="s">
        <v>1110</v>
      </c>
      <c r="CR1322" s="46">
        <f>0.013*360</f>
        <v>4.68</v>
      </c>
      <c r="CS1322" s="46">
        <f>0.013*360</f>
        <v>4.68</v>
      </c>
      <c r="CT1322" s="46" t="s">
        <v>1115</v>
      </c>
      <c r="FC1322" s="46">
        <v>60</v>
      </c>
    </row>
    <row r="1323" spans="1:159" x14ac:dyDescent="0.25">
      <c r="A1323" s="46">
        <v>60</v>
      </c>
      <c r="B1323" s="46" t="s">
        <v>1094</v>
      </c>
      <c r="C1323" s="46" t="s">
        <v>1095</v>
      </c>
      <c r="D1323" s="46">
        <v>2012</v>
      </c>
      <c r="E1323" s="46">
        <v>2005</v>
      </c>
      <c r="F1323" s="46" t="s">
        <v>193</v>
      </c>
      <c r="G1323" s="46" t="s">
        <v>1096</v>
      </c>
      <c r="H1323" s="46">
        <f t="shared" si="258"/>
        <v>38.616666666666667</v>
      </c>
      <c r="I1323" s="46">
        <f t="shared" si="259"/>
        <v>-76.733333333333334</v>
      </c>
      <c r="J1323" s="46">
        <v>25.4</v>
      </c>
      <c r="P1323" s="81" t="s">
        <v>179</v>
      </c>
      <c r="Q1323" s="81" t="s">
        <v>1057</v>
      </c>
      <c r="R1323" s="81" t="s">
        <v>1099</v>
      </c>
      <c r="S1323" s="81" t="s">
        <v>1653</v>
      </c>
      <c r="T1323" s="81" t="s">
        <v>1653</v>
      </c>
      <c r="U1323" s="46">
        <v>1.37</v>
      </c>
      <c r="X1323" s="46" t="s">
        <v>168</v>
      </c>
      <c r="AB1323" s="46" t="s">
        <v>1586</v>
      </c>
      <c r="AC1323" s="46" t="s">
        <v>166</v>
      </c>
      <c r="AD1323" s="153" t="str">
        <f t="shared" si="257"/>
        <v>Rye</v>
      </c>
      <c r="AE1323" s="46" t="s">
        <v>167</v>
      </c>
      <c r="AJ1323" s="46" t="s">
        <v>203</v>
      </c>
      <c r="AK1323" s="46" t="s">
        <v>203</v>
      </c>
      <c r="AL1323" s="46" t="s">
        <v>230</v>
      </c>
      <c r="AM1323" s="46" t="s">
        <v>1098</v>
      </c>
      <c r="AN1323" s="46">
        <v>0</v>
      </c>
      <c r="AO1323" s="46" t="s">
        <v>618</v>
      </c>
      <c r="AP1323" s="46" t="s">
        <v>208</v>
      </c>
      <c r="AQ1323" s="46">
        <v>4</v>
      </c>
      <c r="AR1323" s="46">
        <v>4</v>
      </c>
      <c r="AS1323" s="46" t="s">
        <v>177</v>
      </c>
      <c r="AX1323" s="46" t="s">
        <v>1102</v>
      </c>
      <c r="BB1323" s="46">
        <v>7997</v>
      </c>
      <c r="BC1323" s="46">
        <v>7827</v>
      </c>
      <c r="BE1323" s="46">
        <v>1.41</v>
      </c>
      <c r="BF1323" s="46">
        <v>1.427</v>
      </c>
      <c r="BH1323" s="46">
        <v>0.186</v>
      </c>
      <c r="BI1323" s="46">
        <v>0.193</v>
      </c>
      <c r="BJ1323" s="46" t="s">
        <v>1108</v>
      </c>
      <c r="CF1323" s="46">
        <v>24.64</v>
      </c>
      <c r="CG1323" s="46">
        <v>35.22</v>
      </c>
      <c r="CH1323" s="46" t="s">
        <v>1104</v>
      </c>
      <c r="CI1323" s="46">
        <v>1.76</v>
      </c>
      <c r="CJ1323" s="46">
        <v>10.68</v>
      </c>
      <c r="CK1323" s="46" t="s">
        <v>1116</v>
      </c>
      <c r="CO1323" s="46">
        <f>0.3*3600</f>
        <v>1080</v>
      </c>
      <c r="CP1323" s="46">
        <f>0.307*3600</f>
        <v>1105.2</v>
      </c>
      <c r="CQ1323" s="46" t="s">
        <v>1110</v>
      </c>
      <c r="CR1323" s="46">
        <f>0.0084*360</f>
        <v>3.024</v>
      </c>
      <c r="CS1323" s="46">
        <f>0.0044*360</f>
        <v>1.5840000000000001</v>
      </c>
      <c r="CT1323" s="46" t="s">
        <v>1115</v>
      </c>
      <c r="FC1323" s="46">
        <v>60</v>
      </c>
    </row>
    <row r="1324" spans="1:159" x14ac:dyDescent="0.25">
      <c r="A1324" s="46">
        <v>60</v>
      </c>
      <c r="B1324" s="46" t="s">
        <v>1094</v>
      </c>
      <c r="C1324" s="46" t="s">
        <v>1095</v>
      </c>
      <c r="D1324" s="46">
        <v>2012</v>
      </c>
      <c r="E1324" s="46">
        <v>2006</v>
      </c>
      <c r="F1324" s="46" t="s">
        <v>193</v>
      </c>
      <c r="G1324" s="46" t="s">
        <v>1096</v>
      </c>
      <c r="H1324" s="46">
        <f t="shared" si="258"/>
        <v>38.616666666666667</v>
      </c>
      <c r="I1324" s="46">
        <f t="shared" si="259"/>
        <v>-76.733333333333334</v>
      </c>
      <c r="J1324" s="46">
        <v>25.4</v>
      </c>
      <c r="P1324" s="81" t="s">
        <v>180</v>
      </c>
      <c r="Q1324" s="81" t="s">
        <v>1057</v>
      </c>
      <c r="R1324" s="81" t="s">
        <v>1099</v>
      </c>
      <c r="S1324" s="81" t="s">
        <v>1653</v>
      </c>
      <c r="T1324" s="81" t="s">
        <v>1653</v>
      </c>
      <c r="U1324" s="46">
        <v>1.37</v>
      </c>
      <c r="X1324" s="46" t="s">
        <v>168</v>
      </c>
      <c r="AB1324" s="46" t="s">
        <v>1586</v>
      </c>
      <c r="AC1324" s="46" t="s">
        <v>166</v>
      </c>
      <c r="AD1324" s="153" t="str">
        <f t="shared" si="257"/>
        <v>Rye</v>
      </c>
      <c r="AE1324" s="46" t="s">
        <v>167</v>
      </c>
      <c r="AJ1324" s="46" t="s">
        <v>203</v>
      </c>
      <c r="AK1324" s="46" t="s">
        <v>203</v>
      </c>
      <c r="AL1324" s="46" t="s">
        <v>230</v>
      </c>
      <c r="AM1324" s="46" t="s">
        <v>1098</v>
      </c>
      <c r="AN1324" s="46">
        <v>0</v>
      </c>
      <c r="AO1324" s="46" t="s">
        <v>618</v>
      </c>
      <c r="AP1324" s="46" t="s">
        <v>208</v>
      </c>
      <c r="AQ1324" s="46">
        <v>4</v>
      </c>
      <c r="AR1324" s="46">
        <v>4</v>
      </c>
      <c r="AS1324" s="46" t="s">
        <v>177</v>
      </c>
      <c r="AX1324" s="46" t="s">
        <v>1101</v>
      </c>
      <c r="BB1324" s="46">
        <v>7997</v>
      </c>
      <c r="BC1324" s="46">
        <v>7827</v>
      </c>
      <c r="BE1324" s="46">
        <v>1.4</v>
      </c>
      <c r="BF1324" s="46">
        <v>1.258</v>
      </c>
      <c r="BH1324" s="46">
        <v>0.17599999999999999</v>
      </c>
      <c r="BI1324" s="46">
        <v>0.185</v>
      </c>
      <c r="BJ1324" s="46" t="s">
        <v>1108</v>
      </c>
      <c r="CF1324" s="46">
        <v>42.71</v>
      </c>
      <c r="CG1324" s="46">
        <v>60.16</v>
      </c>
      <c r="CH1324" s="46" t="s">
        <v>1104</v>
      </c>
      <c r="CI1324" s="46">
        <v>2.87</v>
      </c>
      <c r="CJ1324" s="46">
        <v>3.99</v>
      </c>
      <c r="CK1324" s="46" t="s">
        <v>1116</v>
      </c>
      <c r="CO1324" s="46">
        <f>0.023*3600</f>
        <v>82.8</v>
      </c>
      <c r="CP1324" s="46">
        <f>0.0833*3600</f>
        <v>299.88</v>
      </c>
      <c r="CQ1324" s="46" t="s">
        <v>1110</v>
      </c>
      <c r="CR1324" s="46">
        <f>0.00037*360</f>
        <v>0.13319999999999999</v>
      </c>
      <c r="CS1324" s="46">
        <f>0.0023*360</f>
        <v>0.82799999999999996</v>
      </c>
      <c r="CT1324" s="46" t="s">
        <v>1115</v>
      </c>
      <c r="FC1324" s="46">
        <v>60</v>
      </c>
    </row>
    <row r="1325" spans="1:159" x14ac:dyDescent="0.25">
      <c r="A1325" s="46">
        <v>60</v>
      </c>
      <c r="B1325" s="46" t="s">
        <v>1094</v>
      </c>
      <c r="C1325" s="46" t="s">
        <v>1095</v>
      </c>
      <c r="D1325" s="46">
        <v>2012</v>
      </c>
      <c r="E1325" s="46">
        <v>2006</v>
      </c>
      <c r="F1325" s="46" t="s">
        <v>193</v>
      </c>
      <c r="G1325" s="46" t="s">
        <v>1096</v>
      </c>
      <c r="H1325" s="46">
        <f t="shared" si="258"/>
        <v>38.616666666666667</v>
      </c>
      <c r="I1325" s="46">
        <f t="shared" si="259"/>
        <v>-76.733333333333334</v>
      </c>
      <c r="J1325" s="46">
        <v>25.4</v>
      </c>
      <c r="P1325" s="81" t="s">
        <v>180</v>
      </c>
      <c r="Q1325" s="81" t="s">
        <v>1057</v>
      </c>
      <c r="R1325" s="81" t="s">
        <v>1099</v>
      </c>
      <c r="S1325" s="81" t="s">
        <v>1653</v>
      </c>
      <c r="T1325" s="81" t="s">
        <v>1653</v>
      </c>
      <c r="U1325" s="46">
        <v>1.37</v>
      </c>
      <c r="X1325" s="46" t="s">
        <v>168</v>
      </c>
      <c r="AB1325" s="46" t="s">
        <v>1586</v>
      </c>
      <c r="AC1325" s="46" t="s">
        <v>166</v>
      </c>
      <c r="AD1325" s="153" t="str">
        <f t="shared" si="257"/>
        <v>Rye</v>
      </c>
      <c r="AE1325" s="46" t="s">
        <v>167</v>
      </c>
      <c r="AJ1325" s="46" t="s">
        <v>203</v>
      </c>
      <c r="AK1325" s="46" t="s">
        <v>203</v>
      </c>
      <c r="AL1325" s="46" t="s">
        <v>230</v>
      </c>
      <c r="AM1325" s="46" t="s">
        <v>1098</v>
      </c>
      <c r="AN1325" s="46">
        <v>0</v>
      </c>
      <c r="AO1325" s="46" t="s">
        <v>618</v>
      </c>
      <c r="AP1325" s="46" t="s">
        <v>208</v>
      </c>
      <c r="AQ1325" s="46">
        <v>4</v>
      </c>
      <c r="AR1325" s="46">
        <v>4</v>
      </c>
      <c r="AS1325" s="46" t="s">
        <v>177</v>
      </c>
      <c r="AX1325" s="46" t="s">
        <v>1102</v>
      </c>
      <c r="BB1325" s="46">
        <v>7997</v>
      </c>
      <c r="BC1325" s="46">
        <v>7827</v>
      </c>
      <c r="BE1325" s="46">
        <v>1.4</v>
      </c>
      <c r="BF1325" s="46">
        <v>1.258</v>
      </c>
      <c r="BH1325" s="46">
        <v>0.188</v>
      </c>
      <c r="BI1325" s="46">
        <v>0.184</v>
      </c>
      <c r="BJ1325" s="46" t="s">
        <v>1108</v>
      </c>
      <c r="CF1325" s="46">
        <v>33.700000000000003</v>
      </c>
      <c r="CG1325" s="46">
        <v>48.75</v>
      </c>
      <c r="CH1325" s="46" t="s">
        <v>1104</v>
      </c>
      <c r="CI1325" s="46">
        <v>1.28</v>
      </c>
      <c r="CJ1325" s="46">
        <v>4.7</v>
      </c>
      <c r="CK1325" s="46" t="s">
        <v>1116</v>
      </c>
      <c r="FC1325" s="46">
        <v>60</v>
      </c>
    </row>
    <row r="1326" spans="1:159" s="102" customFormat="1" x14ac:dyDescent="0.25">
      <c r="A1326" s="102">
        <v>60</v>
      </c>
      <c r="B1326" s="102" t="s">
        <v>1094</v>
      </c>
      <c r="C1326" s="102" t="s">
        <v>1095</v>
      </c>
      <c r="D1326" s="102">
        <v>2012</v>
      </c>
      <c r="E1326" s="102">
        <v>2005</v>
      </c>
      <c r="F1326" s="102" t="s">
        <v>193</v>
      </c>
      <c r="G1326" s="102" t="s">
        <v>1096</v>
      </c>
      <c r="H1326" s="102">
        <f t="shared" si="258"/>
        <v>38.616666666666667</v>
      </c>
      <c r="I1326" s="102">
        <f t="shared" si="259"/>
        <v>-76.733333333333334</v>
      </c>
      <c r="J1326" s="102">
        <v>25.4</v>
      </c>
      <c r="P1326" s="103" t="s">
        <v>179</v>
      </c>
      <c r="Q1326" s="103" t="s">
        <v>1057</v>
      </c>
      <c r="R1326" s="103" t="s">
        <v>1099</v>
      </c>
      <c r="S1326" s="103" t="s">
        <v>1653</v>
      </c>
      <c r="T1326" s="103" t="s">
        <v>1653</v>
      </c>
      <c r="U1326" s="102">
        <v>1.37</v>
      </c>
      <c r="X1326" s="102" t="s">
        <v>168</v>
      </c>
      <c r="AB1326" s="46" t="s">
        <v>1586</v>
      </c>
      <c r="AC1326" s="102" t="s">
        <v>166</v>
      </c>
      <c r="AD1326" s="153" t="str">
        <f t="shared" si="257"/>
        <v>Rye</v>
      </c>
      <c r="AE1326" s="102" t="s">
        <v>167</v>
      </c>
      <c r="AJ1326" s="102" t="s">
        <v>203</v>
      </c>
      <c r="AK1326" s="102" t="s">
        <v>203</v>
      </c>
      <c r="AL1326" s="102" t="s">
        <v>230</v>
      </c>
      <c r="AM1326" s="102" t="s">
        <v>1098</v>
      </c>
      <c r="AN1326" s="102">
        <v>0</v>
      </c>
      <c r="AO1326" s="102" t="s">
        <v>618</v>
      </c>
      <c r="AP1326" s="102" t="s">
        <v>208</v>
      </c>
      <c r="AQ1326" s="102">
        <v>4</v>
      </c>
      <c r="AR1326" s="102">
        <v>4</v>
      </c>
      <c r="AS1326" s="102" t="s">
        <v>177</v>
      </c>
      <c r="AX1326" s="102" t="s">
        <v>1101</v>
      </c>
      <c r="BB1326" s="46">
        <v>7997</v>
      </c>
      <c r="BC1326" s="46">
        <v>7827</v>
      </c>
      <c r="BE1326" s="102">
        <v>1.41</v>
      </c>
      <c r="BF1326" s="102">
        <v>1.381</v>
      </c>
      <c r="BH1326" s="102">
        <f>44.12/100</f>
        <v>0.44119999999999998</v>
      </c>
      <c r="BI1326" s="102">
        <f>48.28/100</f>
        <v>0.48280000000000001</v>
      </c>
      <c r="BJ1326" s="102" t="s">
        <v>1386</v>
      </c>
      <c r="CF1326" s="102">
        <v>41.91</v>
      </c>
      <c r="CG1326" s="102">
        <v>60.18</v>
      </c>
      <c r="CH1326" s="102" t="s">
        <v>1103</v>
      </c>
      <c r="CO1326" s="102">
        <v>5040</v>
      </c>
      <c r="CP1326" s="102">
        <f>4.02*3600</f>
        <v>14471.999999999998</v>
      </c>
      <c r="CQ1326" s="102" t="s">
        <v>1111</v>
      </c>
      <c r="CR1326" s="102">
        <f>0.064*360</f>
        <v>23.04</v>
      </c>
      <c r="CS1326" s="102">
        <f>0.175*360</f>
        <v>62.999999999999993</v>
      </c>
      <c r="CT1326" s="102" t="s">
        <v>1115</v>
      </c>
      <c r="FA1326" s="102" t="s">
        <v>1109</v>
      </c>
      <c r="FC1326" s="102">
        <v>60</v>
      </c>
    </row>
    <row r="1327" spans="1:159" s="102" customFormat="1" x14ac:dyDescent="0.25">
      <c r="A1327" s="102">
        <v>60</v>
      </c>
      <c r="B1327" s="102" t="s">
        <v>1094</v>
      </c>
      <c r="C1327" s="102" t="s">
        <v>1095</v>
      </c>
      <c r="D1327" s="102">
        <v>2012</v>
      </c>
      <c r="E1327" s="102">
        <v>2005</v>
      </c>
      <c r="F1327" s="102" t="s">
        <v>193</v>
      </c>
      <c r="G1327" s="102" t="s">
        <v>1096</v>
      </c>
      <c r="H1327" s="102">
        <f t="shared" si="258"/>
        <v>38.616666666666667</v>
      </c>
      <c r="I1327" s="102">
        <f t="shared" si="259"/>
        <v>-76.733333333333334</v>
      </c>
      <c r="J1327" s="102">
        <v>25.4</v>
      </c>
      <c r="P1327" s="103" t="s">
        <v>179</v>
      </c>
      <c r="Q1327" s="103" t="s">
        <v>1057</v>
      </c>
      <c r="R1327" s="103" t="s">
        <v>1099</v>
      </c>
      <c r="S1327" s="103" t="s">
        <v>1653</v>
      </c>
      <c r="T1327" s="103" t="s">
        <v>1653</v>
      </c>
      <c r="U1327" s="102">
        <v>1.37</v>
      </c>
      <c r="X1327" s="102" t="s">
        <v>168</v>
      </c>
      <c r="AB1327" s="46" t="s">
        <v>1586</v>
      </c>
      <c r="AC1327" s="102" t="s">
        <v>166</v>
      </c>
      <c r="AD1327" s="153" t="str">
        <f t="shared" si="257"/>
        <v>Rye</v>
      </c>
      <c r="AE1327" s="102" t="s">
        <v>167</v>
      </c>
      <c r="AJ1327" s="102" t="s">
        <v>203</v>
      </c>
      <c r="AK1327" s="102" t="s">
        <v>203</v>
      </c>
      <c r="AL1327" s="102" t="s">
        <v>230</v>
      </c>
      <c r="AM1327" s="102" t="s">
        <v>1098</v>
      </c>
      <c r="AN1327" s="102">
        <v>0</v>
      </c>
      <c r="AO1327" s="102" t="s">
        <v>618</v>
      </c>
      <c r="AP1327" s="102" t="s">
        <v>208</v>
      </c>
      <c r="AQ1327" s="102">
        <v>4</v>
      </c>
      <c r="AR1327" s="102">
        <v>4</v>
      </c>
      <c r="AS1327" s="102" t="s">
        <v>177</v>
      </c>
      <c r="AX1327" s="102" t="s">
        <v>1102</v>
      </c>
      <c r="BB1327" s="46">
        <v>7997</v>
      </c>
      <c r="BC1327" s="46">
        <v>7827</v>
      </c>
      <c r="BE1327" s="102">
        <v>1.41</v>
      </c>
      <c r="BF1327" s="102">
        <v>1.381</v>
      </c>
      <c r="BH1327" s="102">
        <f>42.86/100</f>
        <v>0.42859999999999998</v>
      </c>
      <c r="BI1327" s="102">
        <f>55.85/100</f>
        <v>0.5585</v>
      </c>
      <c r="BJ1327" s="102" t="s">
        <v>1386</v>
      </c>
      <c r="CF1327" s="102">
        <v>34.14</v>
      </c>
      <c r="CG1327" s="102">
        <v>47.17</v>
      </c>
      <c r="CH1327" s="102" t="s">
        <v>1103</v>
      </c>
      <c r="CO1327" s="102">
        <f>0.185*3600</f>
        <v>666</v>
      </c>
      <c r="CP1327" s="102">
        <f>0.093*3600</f>
        <v>334.8</v>
      </c>
      <c r="CQ1327" s="102" t="s">
        <v>1111</v>
      </c>
      <c r="CR1327" s="102">
        <f>0.0067*360</f>
        <v>2.4119999999999999</v>
      </c>
      <c r="CS1327" s="102">
        <f>0.0031*360</f>
        <v>1.1159999999999999</v>
      </c>
      <c r="CT1327" s="102" t="s">
        <v>1115</v>
      </c>
      <c r="FA1327" s="102" t="s">
        <v>1109</v>
      </c>
      <c r="FC1327" s="102">
        <v>60</v>
      </c>
    </row>
    <row r="1328" spans="1:159" s="102" customFormat="1" x14ac:dyDescent="0.25">
      <c r="A1328" s="102">
        <v>60</v>
      </c>
      <c r="B1328" s="102" t="s">
        <v>1094</v>
      </c>
      <c r="C1328" s="102" t="s">
        <v>1095</v>
      </c>
      <c r="D1328" s="102">
        <v>2012</v>
      </c>
      <c r="E1328" s="102">
        <v>2006</v>
      </c>
      <c r="F1328" s="102" t="s">
        <v>193</v>
      </c>
      <c r="G1328" s="102" t="s">
        <v>1096</v>
      </c>
      <c r="H1328" s="102">
        <f t="shared" si="258"/>
        <v>38.616666666666667</v>
      </c>
      <c r="I1328" s="102">
        <f t="shared" si="259"/>
        <v>-76.733333333333334</v>
      </c>
      <c r="J1328" s="102">
        <v>25.4</v>
      </c>
      <c r="P1328" s="103" t="s">
        <v>180</v>
      </c>
      <c r="Q1328" s="103" t="s">
        <v>1057</v>
      </c>
      <c r="R1328" s="103" t="s">
        <v>1099</v>
      </c>
      <c r="S1328" s="103" t="s">
        <v>1653</v>
      </c>
      <c r="T1328" s="103" t="s">
        <v>1653</v>
      </c>
      <c r="U1328" s="102">
        <v>1.37</v>
      </c>
      <c r="X1328" s="102" t="s">
        <v>168</v>
      </c>
      <c r="AB1328" s="46" t="s">
        <v>1586</v>
      </c>
      <c r="AC1328" s="102" t="s">
        <v>166</v>
      </c>
      <c r="AD1328" s="153" t="str">
        <f t="shared" si="257"/>
        <v>Rye</v>
      </c>
      <c r="AE1328" s="102" t="s">
        <v>167</v>
      </c>
      <c r="AJ1328" s="102" t="s">
        <v>203</v>
      </c>
      <c r="AK1328" s="102" t="s">
        <v>203</v>
      </c>
      <c r="AL1328" s="102" t="s">
        <v>230</v>
      </c>
      <c r="AM1328" s="102" t="s">
        <v>1098</v>
      </c>
      <c r="AN1328" s="102">
        <v>0</v>
      </c>
      <c r="AO1328" s="102" t="s">
        <v>618</v>
      </c>
      <c r="AP1328" s="102" t="s">
        <v>208</v>
      </c>
      <c r="AQ1328" s="102">
        <v>4</v>
      </c>
      <c r="AR1328" s="102">
        <v>4</v>
      </c>
      <c r="AS1328" s="102" t="s">
        <v>177</v>
      </c>
      <c r="AX1328" s="102" t="s">
        <v>1101</v>
      </c>
      <c r="BB1328" s="46">
        <v>7997</v>
      </c>
      <c r="BC1328" s="46">
        <v>7827</v>
      </c>
      <c r="BE1328" s="102">
        <v>1.405</v>
      </c>
      <c r="BF1328" s="102">
        <v>1.2649999999999999</v>
      </c>
      <c r="BH1328" s="102">
        <f>37.2/100</f>
        <v>0.37200000000000005</v>
      </c>
      <c r="BI1328" s="102">
        <f>39.15/100</f>
        <v>0.39149999999999996</v>
      </c>
      <c r="BJ1328" s="102" t="s">
        <v>1386</v>
      </c>
      <c r="CF1328" s="102">
        <v>64.34</v>
      </c>
      <c r="CG1328" s="102">
        <v>78.959999999999994</v>
      </c>
      <c r="CH1328" s="102" t="s">
        <v>1103</v>
      </c>
      <c r="CO1328" s="102">
        <f>0.317*3600</f>
        <v>1141.2</v>
      </c>
      <c r="CP1328" s="102">
        <f>1.78*3600</f>
        <v>6408</v>
      </c>
      <c r="CQ1328" s="102" t="s">
        <v>1111</v>
      </c>
      <c r="CR1328" s="102">
        <f>0.017*360</f>
        <v>6.12</v>
      </c>
      <c r="CS1328" s="102">
        <f>0.763*360</f>
        <v>274.68</v>
      </c>
      <c r="CT1328" s="102" t="s">
        <v>1115</v>
      </c>
      <c r="FA1328" s="102" t="s">
        <v>1109</v>
      </c>
      <c r="FC1328" s="102">
        <v>60</v>
      </c>
    </row>
    <row r="1329" spans="1:159" s="102" customFormat="1" x14ac:dyDescent="0.25">
      <c r="A1329" s="102">
        <v>60</v>
      </c>
      <c r="B1329" s="102" t="s">
        <v>1094</v>
      </c>
      <c r="C1329" s="102" t="s">
        <v>1095</v>
      </c>
      <c r="D1329" s="102">
        <v>2012</v>
      </c>
      <c r="E1329" s="102">
        <v>2006</v>
      </c>
      <c r="F1329" s="102" t="s">
        <v>193</v>
      </c>
      <c r="G1329" s="102" t="s">
        <v>1096</v>
      </c>
      <c r="H1329" s="102">
        <f t="shared" si="258"/>
        <v>38.616666666666667</v>
      </c>
      <c r="I1329" s="102">
        <f t="shared" si="259"/>
        <v>-76.733333333333334</v>
      </c>
      <c r="J1329" s="102">
        <v>25.4</v>
      </c>
      <c r="P1329" s="103" t="s">
        <v>180</v>
      </c>
      <c r="Q1329" s="103" t="s">
        <v>1057</v>
      </c>
      <c r="R1329" s="103" t="s">
        <v>1099</v>
      </c>
      <c r="S1329" s="103" t="s">
        <v>1653</v>
      </c>
      <c r="T1329" s="103" t="s">
        <v>1653</v>
      </c>
      <c r="U1329" s="102">
        <v>1.37</v>
      </c>
      <c r="X1329" s="102" t="s">
        <v>168</v>
      </c>
      <c r="AB1329" s="46" t="s">
        <v>1586</v>
      </c>
      <c r="AC1329" s="102" t="s">
        <v>166</v>
      </c>
      <c r="AD1329" s="153" t="str">
        <f t="shared" si="257"/>
        <v>Rye</v>
      </c>
      <c r="AE1329" s="102" t="s">
        <v>167</v>
      </c>
      <c r="AJ1329" s="102" t="s">
        <v>203</v>
      </c>
      <c r="AK1329" s="102" t="s">
        <v>203</v>
      </c>
      <c r="AL1329" s="102" t="s">
        <v>230</v>
      </c>
      <c r="AM1329" s="102" t="s">
        <v>1098</v>
      </c>
      <c r="AN1329" s="102">
        <v>0</v>
      </c>
      <c r="AO1329" s="102" t="s">
        <v>618</v>
      </c>
      <c r="AP1329" s="102" t="s">
        <v>208</v>
      </c>
      <c r="AQ1329" s="102">
        <v>4</v>
      </c>
      <c r="AR1329" s="102">
        <v>4</v>
      </c>
      <c r="AS1329" s="102" t="s">
        <v>177</v>
      </c>
      <c r="AX1329" s="102" t="s">
        <v>1102</v>
      </c>
      <c r="BB1329" s="46">
        <v>7997</v>
      </c>
      <c r="BC1329" s="46">
        <v>7827</v>
      </c>
      <c r="BE1329" s="102">
        <v>1.405</v>
      </c>
      <c r="BF1329" s="102">
        <v>1.2649999999999999</v>
      </c>
      <c r="BH1329" s="102">
        <f>42.32/100</f>
        <v>0.42320000000000002</v>
      </c>
      <c r="BI1329" s="102">
        <f>45.49/100</f>
        <v>0.45490000000000003</v>
      </c>
      <c r="BJ1329" s="102" t="s">
        <v>1386</v>
      </c>
      <c r="CF1329" s="102">
        <v>51.72</v>
      </c>
      <c r="CG1329" s="102">
        <v>63.54</v>
      </c>
      <c r="CH1329" s="102" t="s">
        <v>1103</v>
      </c>
      <c r="FA1329" s="102" t="s">
        <v>1109</v>
      </c>
      <c r="FC1329" s="102">
        <v>60</v>
      </c>
    </row>
    <row r="1330" spans="1:159" s="31" customFormat="1" x14ac:dyDescent="0.25">
      <c r="A1330" s="31">
        <v>60</v>
      </c>
      <c r="B1330" s="31" t="s">
        <v>1094</v>
      </c>
      <c r="C1330" s="31" t="s">
        <v>1095</v>
      </c>
      <c r="D1330" s="31">
        <v>2012</v>
      </c>
      <c r="E1330" s="31">
        <v>2005</v>
      </c>
      <c r="F1330" s="31" t="s">
        <v>193</v>
      </c>
      <c r="G1330" s="31" t="s">
        <v>1097</v>
      </c>
      <c r="H1330" s="31">
        <f t="shared" ref="H1330:H1335" si="260">39+14/60</f>
        <v>39.233333333333334</v>
      </c>
      <c r="I1330" s="31">
        <f t="shared" ref="I1330:I1335" si="261">-76-55/60</f>
        <v>-76.916666666666671</v>
      </c>
      <c r="J1330" s="31">
        <v>109.2</v>
      </c>
      <c r="P1330" s="56" t="s">
        <v>179</v>
      </c>
      <c r="Q1330" s="56" t="s">
        <v>1057</v>
      </c>
      <c r="R1330" s="56" t="s">
        <v>1100</v>
      </c>
      <c r="S1330" s="56" t="s">
        <v>1653</v>
      </c>
      <c r="T1330" s="56" t="s">
        <v>1653</v>
      </c>
      <c r="U1330" s="31">
        <v>1.21</v>
      </c>
      <c r="X1330" s="31" t="s">
        <v>168</v>
      </c>
      <c r="AB1330" s="31" t="s">
        <v>1586</v>
      </c>
      <c r="AC1330" s="31" t="s">
        <v>166</v>
      </c>
      <c r="AD1330" s="153" t="str">
        <f t="shared" si="257"/>
        <v>Rye</v>
      </c>
      <c r="AE1330" s="31" t="s">
        <v>167</v>
      </c>
      <c r="AJ1330" s="31" t="s">
        <v>203</v>
      </c>
      <c r="AK1330" s="31" t="s">
        <v>203</v>
      </c>
      <c r="AL1330" s="31" t="s">
        <v>230</v>
      </c>
      <c r="AM1330" s="31" t="s">
        <v>1098</v>
      </c>
      <c r="AN1330" s="31">
        <v>0</v>
      </c>
      <c r="AO1330" s="31" t="s">
        <v>618</v>
      </c>
      <c r="AP1330" s="31" t="s">
        <v>208</v>
      </c>
      <c r="AQ1330" s="31">
        <v>4</v>
      </c>
      <c r="AR1330" s="31">
        <v>4</v>
      </c>
      <c r="AS1330" s="31" t="s">
        <v>177</v>
      </c>
      <c r="AX1330" s="31" t="s">
        <v>1101</v>
      </c>
      <c r="BB1330" s="31">
        <v>7997</v>
      </c>
      <c r="BC1330" s="31">
        <v>7827</v>
      </c>
      <c r="BE1330" s="31">
        <v>1.208</v>
      </c>
      <c r="BF1330" s="31">
        <v>1.22</v>
      </c>
      <c r="BH1330" s="31">
        <v>0.23400000000000001</v>
      </c>
      <c r="BI1330" s="31">
        <v>0.25</v>
      </c>
      <c r="BJ1330" s="31" t="s">
        <v>1108</v>
      </c>
      <c r="CF1330" s="31">
        <v>55.21</v>
      </c>
      <c r="CG1330" s="31">
        <v>66.87</v>
      </c>
      <c r="CH1330" s="31" t="s">
        <v>1104</v>
      </c>
      <c r="CI1330" s="31">
        <v>7.05</v>
      </c>
      <c r="CJ1330" s="31">
        <v>4.03</v>
      </c>
      <c r="CK1330" s="31" t="s">
        <v>1116</v>
      </c>
      <c r="CO1330" s="31">
        <f>0.87*3600</f>
        <v>3132</v>
      </c>
      <c r="CP1330" s="31">
        <f>2.3*3600</f>
        <v>8280</v>
      </c>
      <c r="CQ1330" s="31" t="s">
        <v>1112</v>
      </c>
      <c r="CR1330" s="31">
        <f>0.083*360</f>
        <v>29.880000000000003</v>
      </c>
      <c r="CS1330" s="31">
        <f>0.0097*360</f>
        <v>3.492</v>
      </c>
      <c r="CT1330" s="31" t="s">
        <v>1115</v>
      </c>
      <c r="FC1330" s="31">
        <v>60</v>
      </c>
    </row>
    <row r="1331" spans="1:159" s="31" customFormat="1" x14ac:dyDescent="0.25">
      <c r="A1331" s="31">
        <v>60</v>
      </c>
      <c r="B1331" s="31" t="s">
        <v>1094</v>
      </c>
      <c r="C1331" s="31" t="s">
        <v>1095</v>
      </c>
      <c r="D1331" s="31">
        <v>2012</v>
      </c>
      <c r="E1331" s="31">
        <v>2005</v>
      </c>
      <c r="F1331" s="31" t="s">
        <v>193</v>
      </c>
      <c r="G1331" s="31" t="s">
        <v>1097</v>
      </c>
      <c r="H1331" s="31">
        <f t="shared" si="260"/>
        <v>39.233333333333334</v>
      </c>
      <c r="I1331" s="31">
        <f t="shared" si="261"/>
        <v>-76.916666666666671</v>
      </c>
      <c r="J1331" s="31">
        <v>109.2</v>
      </c>
      <c r="P1331" s="56" t="s">
        <v>179</v>
      </c>
      <c r="Q1331" s="56" t="s">
        <v>1057</v>
      </c>
      <c r="R1331" s="56" t="s">
        <v>1100</v>
      </c>
      <c r="S1331" s="56" t="s">
        <v>1653</v>
      </c>
      <c r="T1331" s="56" t="s">
        <v>1653</v>
      </c>
      <c r="U1331" s="31">
        <v>1.21</v>
      </c>
      <c r="X1331" s="31" t="s">
        <v>168</v>
      </c>
      <c r="AB1331" s="31" t="s">
        <v>1586</v>
      </c>
      <c r="AC1331" s="31" t="s">
        <v>166</v>
      </c>
      <c r="AD1331" s="153" t="str">
        <f t="shared" si="257"/>
        <v>Rye</v>
      </c>
      <c r="AE1331" s="31" t="s">
        <v>167</v>
      </c>
      <c r="AJ1331" s="31" t="s">
        <v>203</v>
      </c>
      <c r="AK1331" s="31" t="s">
        <v>203</v>
      </c>
      <c r="AL1331" s="31" t="s">
        <v>230</v>
      </c>
      <c r="AM1331" s="31" t="s">
        <v>1098</v>
      </c>
      <c r="AN1331" s="31">
        <v>0</v>
      </c>
      <c r="AO1331" s="31" t="s">
        <v>618</v>
      </c>
      <c r="AP1331" s="31" t="s">
        <v>208</v>
      </c>
      <c r="AQ1331" s="31">
        <v>4</v>
      </c>
      <c r="AR1331" s="31">
        <v>4</v>
      </c>
      <c r="AS1331" s="31" t="s">
        <v>177</v>
      </c>
      <c r="AX1331" s="31" t="s">
        <v>1102</v>
      </c>
      <c r="BB1331" s="31">
        <v>7997</v>
      </c>
      <c r="BC1331" s="31">
        <v>7827</v>
      </c>
      <c r="BE1331" s="31">
        <v>1.208</v>
      </c>
      <c r="BF1331" s="31">
        <v>1.22</v>
      </c>
      <c r="BH1331" s="31">
        <v>0.23799999999999999</v>
      </c>
      <c r="BI1331" s="31">
        <v>0.25</v>
      </c>
      <c r="BJ1331" s="31" t="s">
        <v>1108</v>
      </c>
      <c r="CF1331" s="31">
        <v>24.64</v>
      </c>
      <c r="CG1331" s="31">
        <v>33.200000000000003</v>
      </c>
      <c r="CH1331" s="31" t="s">
        <v>1104</v>
      </c>
      <c r="CI1331" s="31">
        <v>2.64</v>
      </c>
      <c r="CJ1331" s="31">
        <v>9.4600000000000009</v>
      </c>
      <c r="CK1331" s="31" t="s">
        <v>1116</v>
      </c>
      <c r="CO1331" s="31">
        <f>2.32*3600</f>
        <v>8352</v>
      </c>
      <c r="CP1331" s="31">
        <f>4.5*3600</f>
        <v>16200</v>
      </c>
      <c r="CQ1331" s="31" t="s">
        <v>1112</v>
      </c>
      <c r="CR1331" s="31">
        <f>0.109*360</f>
        <v>39.24</v>
      </c>
      <c r="CS1331" s="31">
        <f>0.119*360</f>
        <v>42.839999999999996</v>
      </c>
      <c r="CT1331" s="31" t="s">
        <v>1115</v>
      </c>
      <c r="FC1331" s="31">
        <v>60</v>
      </c>
    </row>
    <row r="1332" spans="1:159" s="31" customFormat="1" x14ac:dyDescent="0.25">
      <c r="A1332" s="31">
        <v>60</v>
      </c>
      <c r="B1332" s="31" t="s">
        <v>1094</v>
      </c>
      <c r="C1332" s="31" t="s">
        <v>1095</v>
      </c>
      <c r="D1332" s="31">
        <v>2012</v>
      </c>
      <c r="E1332" s="31">
        <v>2006</v>
      </c>
      <c r="F1332" s="31" t="s">
        <v>193</v>
      </c>
      <c r="G1332" s="31" t="s">
        <v>1097</v>
      </c>
      <c r="H1332" s="31">
        <f t="shared" si="260"/>
        <v>39.233333333333334</v>
      </c>
      <c r="I1332" s="31">
        <f t="shared" si="261"/>
        <v>-76.916666666666671</v>
      </c>
      <c r="J1332" s="31">
        <v>109.2</v>
      </c>
      <c r="P1332" s="56" t="s">
        <v>180</v>
      </c>
      <c r="Q1332" s="56" t="s">
        <v>1057</v>
      </c>
      <c r="R1332" s="56" t="s">
        <v>1100</v>
      </c>
      <c r="S1332" s="56" t="s">
        <v>1653</v>
      </c>
      <c r="T1332" s="56" t="s">
        <v>1653</v>
      </c>
      <c r="U1332" s="31">
        <v>1.21</v>
      </c>
      <c r="X1332" s="31" t="s">
        <v>168</v>
      </c>
      <c r="AB1332" s="31" t="s">
        <v>1586</v>
      </c>
      <c r="AC1332" s="31" t="s">
        <v>166</v>
      </c>
      <c r="AD1332" s="153" t="str">
        <f t="shared" si="257"/>
        <v>Rye</v>
      </c>
      <c r="AE1332" s="31" t="s">
        <v>167</v>
      </c>
      <c r="AJ1332" s="31" t="s">
        <v>203</v>
      </c>
      <c r="AK1332" s="31" t="s">
        <v>203</v>
      </c>
      <c r="AL1332" s="31" t="s">
        <v>230</v>
      </c>
      <c r="AM1332" s="31" t="s">
        <v>1098</v>
      </c>
      <c r="AN1332" s="31">
        <v>0</v>
      </c>
      <c r="AO1332" s="31" t="s">
        <v>618</v>
      </c>
      <c r="AP1332" s="31" t="s">
        <v>208</v>
      </c>
      <c r="AQ1332" s="31">
        <v>4</v>
      </c>
      <c r="AR1332" s="31">
        <v>4</v>
      </c>
      <c r="AS1332" s="31" t="s">
        <v>177</v>
      </c>
      <c r="AX1332" s="31" t="s">
        <v>1101</v>
      </c>
      <c r="BB1332" s="31">
        <v>7997</v>
      </c>
      <c r="BC1332" s="31">
        <v>7827</v>
      </c>
      <c r="BE1332" s="31">
        <v>1.206</v>
      </c>
      <c r="BF1332" s="31">
        <v>1.1599999999999999</v>
      </c>
      <c r="BH1332" s="31">
        <v>0.23499999999999999</v>
      </c>
      <c r="BI1332" s="31">
        <v>0.23499999999999999</v>
      </c>
      <c r="BJ1332" s="31" t="s">
        <v>1108</v>
      </c>
      <c r="CF1332" s="31">
        <v>39.31</v>
      </c>
      <c r="CG1332" s="31">
        <v>44.1</v>
      </c>
      <c r="CH1332" s="31" t="s">
        <v>1104</v>
      </c>
      <c r="CI1332" s="31">
        <v>7.02</v>
      </c>
      <c r="CJ1332" s="31">
        <v>3.42</v>
      </c>
      <c r="CK1332" s="31" t="s">
        <v>1116</v>
      </c>
      <c r="FC1332" s="31">
        <v>60</v>
      </c>
    </row>
    <row r="1333" spans="1:159" s="104" customFormat="1" x14ac:dyDescent="0.25">
      <c r="A1333" s="104">
        <v>60</v>
      </c>
      <c r="B1333" s="104" t="s">
        <v>1094</v>
      </c>
      <c r="C1333" s="104" t="s">
        <v>1095</v>
      </c>
      <c r="D1333" s="104">
        <v>2012</v>
      </c>
      <c r="E1333" s="104">
        <v>2005</v>
      </c>
      <c r="F1333" s="104" t="s">
        <v>193</v>
      </c>
      <c r="G1333" s="104" t="s">
        <v>1097</v>
      </c>
      <c r="H1333" s="104">
        <f t="shared" si="260"/>
        <v>39.233333333333334</v>
      </c>
      <c r="I1333" s="104">
        <f t="shared" si="261"/>
        <v>-76.916666666666671</v>
      </c>
      <c r="J1333" s="104">
        <v>109.2</v>
      </c>
      <c r="P1333" s="105" t="s">
        <v>179</v>
      </c>
      <c r="Q1333" s="105" t="s">
        <v>1057</v>
      </c>
      <c r="R1333" s="105" t="s">
        <v>1100</v>
      </c>
      <c r="S1333" s="105" t="s">
        <v>1653</v>
      </c>
      <c r="T1333" s="105" t="s">
        <v>1653</v>
      </c>
      <c r="U1333" s="104">
        <v>1.21</v>
      </c>
      <c r="X1333" s="104" t="s">
        <v>168</v>
      </c>
      <c r="AB1333" s="104" t="s">
        <v>1586</v>
      </c>
      <c r="AC1333" s="104" t="s">
        <v>166</v>
      </c>
      <c r="AD1333" s="153" t="str">
        <f t="shared" si="257"/>
        <v>Rye</v>
      </c>
      <c r="AE1333" s="104" t="s">
        <v>167</v>
      </c>
      <c r="AJ1333" s="104" t="s">
        <v>203</v>
      </c>
      <c r="AK1333" s="104" t="s">
        <v>203</v>
      </c>
      <c r="AL1333" s="104" t="s">
        <v>230</v>
      </c>
      <c r="AM1333" s="104" t="s">
        <v>1098</v>
      </c>
      <c r="AN1333" s="104">
        <v>0</v>
      </c>
      <c r="AO1333" s="104" t="s">
        <v>618</v>
      </c>
      <c r="AP1333" s="104" t="s">
        <v>208</v>
      </c>
      <c r="AQ1333" s="104">
        <v>4</v>
      </c>
      <c r="AR1333" s="104">
        <v>4</v>
      </c>
      <c r="AS1333" s="104" t="s">
        <v>177</v>
      </c>
      <c r="AX1333" s="104" t="s">
        <v>1101</v>
      </c>
      <c r="BB1333" s="104">
        <v>7997</v>
      </c>
      <c r="BC1333" s="104">
        <v>7827</v>
      </c>
      <c r="BE1333" s="104">
        <v>1.2050000000000001</v>
      </c>
      <c r="BF1333" s="104">
        <v>1.22</v>
      </c>
      <c r="BH1333" s="104">
        <f>43.19/100</f>
        <v>0.43189999999999995</v>
      </c>
      <c r="BI1333" s="104">
        <f>44.5/100</f>
        <v>0.44500000000000001</v>
      </c>
      <c r="BJ1333" s="104" t="s">
        <v>1386</v>
      </c>
      <c r="CF1333" s="104">
        <v>73.38</v>
      </c>
      <c r="CG1333" s="104">
        <v>80.430000000000007</v>
      </c>
      <c r="CH1333" s="104" t="s">
        <v>1103</v>
      </c>
      <c r="FA1333" s="104" t="s">
        <v>1109</v>
      </c>
      <c r="FC1333" s="104">
        <v>60</v>
      </c>
    </row>
    <row r="1334" spans="1:159" s="104" customFormat="1" x14ac:dyDescent="0.25">
      <c r="A1334" s="104">
        <v>60</v>
      </c>
      <c r="B1334" s="104" t="s">
        <v>1094</v>
      </c>
      <c r="C1334" s="104" t="s">
        <v>1095</v>
      </c>
      <c r="D1334" s="104">
        <v>2012</v>
      </c>
      <c r="E1334" s="104">
        <v>2005</v>
      </c>
      <c r="F1334" s="104" t="s">
        <v>193</v>
      </c>
      <c r="G1334" s="104" t="s">
        <v>1097</v>
      </c>
      <c r="H1334" s="104">
        <f t="shared" si="260"/>
        <v>39.233333333333334</v>
      </c>
      <c r="I1334" s="104">
        <f t="shared" si="261"/>
        <v>-76.916666666666671</v>
      </c>
      <c r="J1334" s="104">
        <v>109.2</v>
      </c>
      <c r="P1334" s="105" t="s">
        <v>179</v>
      </c>
      <c r="Q1334" s="105" t="s">
        <v>1057</v>
      </c>
      <c r="R1334" s="105" t="s">
        <v>1100</v>
      </c>
      <c r="S1334" s="105" t="s">
        <v>1653</v>
      </c>
      <c r="T1334" s="105" t="s">
        <v>1653</v>
      </c>
      <c r="U1334" s="104">
        <v>1.21</v>
      </c>
      <c r="X1334" s="104" t="s">
        <v>168</v>
      </c>
      <c r="AB1334" s="104" t="s">
        <v>1586</v>
      </c>
      <c r="AC1334" s="104" t="s">
        <v>166</v>
      </c>
      <c r="AD1334" s="153" t="str">
        <f t="shared" si="257"/>
        <v>Rye</v>
      </c>
      <c r="AE1334" s="104" t="s">
        <v>167</v>
      </c>
      <c r="AJ1334" s="104" t="s">
        <v>203</v>
      </c>
      <c r="AK1334" s="104" t="s">
        <v>203</v>
      </c>
      <c r="AL1334" s="104" t="s">
        <v>230</v>
      </c>
      <c r="AM1334" s="104" t="s">
        <v>1098</v>
      </c>
      <c r="AN1334" s="104">
        <v>0</v>
      </c>
      <c r="AO1334" s="104" t="s">
        <v>618</v>
      </c>
      <c r="AP1334" s="104" t="s">
        <v>208</v>
      </c>
      <c r="AQ1334" s="104">
        <v>4</v>
      </c>
      <c r="AR1334" s="104">
        <v>4</v>
      </c>
      <c r="AS1334" s="104" t="s">
        <v>177</v>
      </c>
      <c r="AX1334" s="104" t="s">
        <v>1102</v>
      </c>
      <c r="BB1334" s="104">
        <v>7997</v>
      </c>
      <c r="BC1334" s="104">
        <v>7827</v>
      </c>
      <c r="BE1334" s="104">
        <v>1.2050000000000001</v>
      </c>
      <c r="BF1334" s="104">
        <v>1.22</v>
      </c>
      <c r="BH1334" s="104">
        <f>48.69/100</f>
        <v>0.4869</v>
      </c>
      <c r="BI1334" s="104">
        <f>51.31/100</f>
        <v>0.5131</v>
      </c>
      <c r="BJ1334" s="104" t="s">
        <v>1386</v>
      </c>
      <c r="CF1334" s="104">
        <v>51.65</v>
      </c>
      <c r="CG1334" s="104">
        <v>59.7</v>
      </c>
      <c r="CH1334" s="104" t="s">
        <v>1103</v>
      </c>
      <c r="FA1334" s="104" t="s">
        <v>1109</v>
      </c>
      <c r="FC1334" s="104">
        <v>60</v>
      </c>
    </row>
    <row r="1335" spans="1:159" s="104" customFormat="1" x14ac:dyDescent="0.25">
      <c r="A1335" s="104">
        <v>60</v>
      </c>
      <c r="B1335" s="104" t="s">
        <v>1094</v>
      </c>
      <c r="C1335" s="104" t="s">
        <v>1095</v>
      </c>
      <c r="D1335" s="104">
        <v>2012</v>
      </c>
      <c r="E1335" s="104">
        <v>2006</v>
      </c>
      <c r="F1335" s="104" t="s">
        <v>193</v>
      </c>
      <c r="G1335" s="104" t="s">
        <v>1097</v>
      </c>
      <c r="H1335" s="104">
        <f t="shared" si="260"/>
        <v>39.233333333333334</v>
      </c>
      <c r="I1335" s="104">
        <f t="shared" si="261"/>
        <v>-76.916666666666671</v>
      </c>
      <c r="J1335" s="104">
        <v>109.2</v>
      </c>
      <c r="P1335" s="105" t="s">
        <v>180</v>
      </c>
      <c r="Q1335" s="105" t="s">
        <v>1057</v>
      </c>
      <c r="R1335" s="105" t="s">
        <v>1100</v>
      </c>
      <c r="S1335" s="105" t="s">
        <v>1653</v>
      </c>
      <c r="T1335" s="105" t="s">
        <v>1653</v>
      </c>
      <c r="U1335" s="104">
        <v>1.21</v>
      </c>
      <c r="X1335" s="104" t="s">
        <v>168</v>
      </c>
      <c r="AB1335" s="104" t="s">
        <v>1586</v>
      </c>
      <c r="AC1335" s="104" t="s">
        <v>166</v>
      </c>
      <c r="AD1335" s="153" t="str">
        <f t="shared" si="257"/>
        <v>Rye</v>
      </c>
      <c r="AE1335" s="104" t="s">
        <v>167</v>
      </c>
      <c r="AJ1335" s="104" t="s">
        <v>203</v>
      </c>
      <c r="AK1335" s="104" t="s">
        <v>203</v>
      </c>
      <c r="AL1335" s="104" t="s">
        <v>230</v>
      </c>
      <c r="AM1335" s="104" t="s">
        <v>1098</v>
      </c>
      <c r="AN1335" s="104">
        <v>0</v>
      </c>
      <c r="AO1335" s="104" t="s">
        <v>618</v>
      </c>
      <c r="AP1335" s="104" t="s">
        <v>208</v>
      </c>
      <c r="AQ1335" s="104">
        <v>4</v>
      </c>
      <c r="AR1335" s="104">
        <v>4</v>
      </c>
      <c r="AS1335" s="104" t="s">
        <v>177</v>
      </c>
      <c r="AX1335" s="104" t="s">
        <v>1101</v>
      </c>
      <c r="BB1335" s="104">
        <v>7997</v>
      </c>
      <c r="BC1335" s="104">
        <v>7827</v>
      </c>
      <c r="BE1335" s="104">
        <v>1.2050000000000001</v>
      </c>
      <c r="BF1335" s="104">
        <v>1.22</v>
      </c>
      <c r="BH1335" s="104">
        <f>40.67/100</f>
        <v>0.40670000000000001</v>
      </c>
      <c r="BI1335" s="104">
        <f>46.42/100</f>
        <v>0.4642</v>
      </c>
      <c r="BJ1335" s="104" t="s">
        <v>1386</v>
      </c>
      <c r="CF1335" s="104">
        <v>64.8</v>
      </c>
      <c r="CG1335" s="104">
        <v>68.16</v>
      </c>
      <c r="CH1335" s="104" t="s">
        <v>1103</v>
      </c>
      <c r="FA1335" s="104" t="s">
        <v>1109</v>
      </c>
      <c r="FC1335" s="104">
        <v>60</v>
      </c>
    </row>
    <row r="1336" spans="1:159" s="47" customFormat="1" x14ac:dyDescent="0.25">
      <c r="A1336" s="47">
        <v>61</v>
      </c>
      <c r="B1336" s="47" t="s">
        <v>1123</v>
      </c>
      <c r="C1336" s="47" t="s">
        <v>1124</v>
      </c>
      <c r="D1336" s="47">
        <v>2003</v>
      </c>
      <c r="E1336" s="47">
        <v>2000</v>
      </c>
      <c r="F1336" s="47" t="s">
        <v>1125</v>
      </c>
      <c r="G1336" s="47" t="s">
        <v>1126</v>
      </c>
      <c r="H1336" s="47">
        <v>38.74</v>
      </c>
      <c r="I1336" s="47">
        <v>-87.49</v>
      </c>
      <c r="J1336" s="47">
        <v>130</v>
      </c>
      <c r="M1336" s="47">
        <v>143.9</v>
      </c>
      <c r="P1336" s="82" t="s">
        <v>179</v>
      </c>
      <c r="Q1336" s="82" t="s">
        <v>1057</v>
      </c>
      <c r="R1336" s="82" t="s">
        <v>1130</v>
      </c>
      <c r="S1336" s="82" t="s">
        <v>1647</v>
      </c>
      <c r="T1336" s="82" t="s">
        <v>1647</v>
      </c>
      <c r="U1336" s="47">
        <v>1.44</v>
      </c>
      <c r="X1336" s="47" t="s">
        <v>168</v>
      </c>
      <c r="AB1336" s="47" t="s">
        <v>1562</v>
      </c>
      <c r="AC1336" s="47" t="s">
        <v>1811</v>
      </c>
      <c r="AD1336" s="153" t="str">
        <f t="shared" si="257"/>
        <v>Winter_wheat</v>
      </c>
      <c r="AE1336" s="47" t="s">
        <v>205</v>
      </c>
      <c r="AG1336" s="47" t="s">
        <v>1146</v>
      </c>
      <c r="AH1336" s="47" t="s">
        <v>1146</v>
      </c>
      <c r="AI1336" s="47" t="s">
        <v>230</v>
      </c>
      <c r="AJ1336" s="47" t="s">
        <v>289</v>
      </c>
      <c r="AK1336" s="47" t="s">
        <v>289</v>
      </c>
      <c r="AL1336" s="47" t="s">
        <v>230</v>
      </c>
      <c r="AP1336" s="47" t="s">
        <v>208</v>
      </c>
      <c r="AQ1336" s="47">
        <v>4</v>
      </c>
      <c r="AR1336" s="47">
        <v>4</v>
      </c>
      <c r="AS1336" s="47" t="s">
        <v>177</v>
      </c>
      <c r="AU1336" s="47">
        <v>1027</v>
      </c>
      <c r="AW1336" s="47" t="s">
        <v>1128</v>
      </c>
      <c r="AY1336" s="47">
        <v>7.4</v>
      </c>
      <c r="AZ1336" s="47">
        <v>6.6</v>
      </c>
      <c r="BA1336" s="47" t="s">
        <v>1148</v>
      </c>
      <c r="BE1336" s="47">
        <v>1.4</v>
      </c>
      <c r="BF1336" s="47">
        <v>1.36</v>
      </c>
      <c r="CF1336" s="47">
        <v>1.65</v>
      </c>
      <c r="CG1336" s="47">
        <v>1.95</v>
      </c>
      <c r="CH1336" s="47" t="s">
        <v>1134</v>
      </c>
      <c r="CI1336" s="47">
        <v>49.1</v>
      </c>
      <c r="CJ1336" s="47">
        <v>51.25</v>
      </c>
      <c r="CK1336" s="47" t="s">
        <v>1132</v>
      </c>
      <c r="CL1336" s="47">
        <v>4.931E-2</v>
      </c>
      <c r="CM1336" s="47">
        <v>4.897E-2</v>
      </c>
      <c r="CN1336" s="47" t="s">
        <v>1147</v>
      </c>
      <c r="CO1336" s="47">
        <v>12.6</v>
      </c>
      <c r="CP1336" s="47">
        <v>17.399999999999999</v>
      </c>
      <c r="CQ1336" s="47" t="s">
        <v>1135</v>
      </c>
      <c r="CR1336" s="47">
        <v>75</v>
      </c>
      <c r="CS1336" s="47">
        <v>150.6</v>
      </c>
      <c r="DG1336" s="47">
        <f>30/1.44</f>
        <v>20.833333333333336</v>
      </c>
      <c r="DH1336" s="47">
        <f>33.4/1.44</f>
        <v>23.194444444444443</v>
      </c>
      <c r="DI1336" s="47" t="s">
        <v>1137</v>
      </c>
      <c r="FA1336" s="47" t="s">
        <v>1145</v>
      </c>
      <c r="FC1336" s="47">
        <v>61</v>
      </c>
    </row>
    <row r="1337" spans="1:159" s="47" customFormat="1" x14ac:dyDescent="0.25">
      <c r="A1337" s="47">
        <v>61</v>
      </c>
      <c r="B1337" s="47" t="s">
        <v>1123</v>
      </c>
      <c r="C1337" s="47" t="s">
        <v>1124</v>
      </c>
      <c r="D1337" s="47">
        <v>2003</v>
      </c>
      <c r="E1337" s="47">
        <v>2000</v>
      </c>
      <c r="F1337" s="47" t="s">
        <v>1125</v>
      </c>
      <c r="G1337" s="47" t="s">
        <v>1126</v>
      </c>
      <c r="H1337" s="47">
        <v>38.74</v>
      </c>
      <c r="I1337" s="47">
        <v>-87.49</v>
      </c>
      <c r="J1337" s="47">
        <v>130</v>
      </c>
      <c r="M1337" s="47">
        <v>143.9</v>
      </c>
      <c r="P1337" s="82" t="s">
        <v>179</v>
      </c>
      <c r="Q1337" s="82" t="s">
        <v>1057</v>
      </c>
      <c r="R1337" s="82" t="s">
        <v>1130</v>
      </c>
      <c r="S1337" s="82" t="s">
        <v>1647</v>
      </c>
      <c r="T1337" s="82" t="s">
        <v>1647</v>
      </c>
      <c r="U1337" s="47">
        <v>1.44</v>
      </c>
      <c r="X1337" s="47" t="s">
        <v>168</v>
      </c>
      <c r="AB1337" s="47" t="s">
        <v>1562</v>
      </c>
      <c r="AC1337" s="47" t="s">
        <v>1811</v>
      </c>
      <c r="AD1337" s="153" t="str">
        <f t="shared" si="257"/>
        <v>Winter_wheat</v>
      </c>
      <c r="AE1337" s="47" t="s">
        <v>167</v>
      </c>
      <c r="AG1337" s="47" t="s">
        <v>1146</v>
      </c>
      <c r="AH1337" s="47" t="s">
        <v>1146</v>
      </c>
      <c r="AI1337" s="47" t="s">
        <v>230</v>
      </c>
      <c r="AJ1337" s="47" t="s">
        <v>289</v>
      </c>
      <c r="AK1337" s="47" t="s">
        <v>289</v>
      </c>
      <c r="AL1337" s="47" t="s">
        <v>230</v>
      </c>
      <c r="AP1337" s="47" t="s">
        <v>208</v>
      </c>
      <c r="AQ1337" s="47">
        <v>4</v>
      </c>
      <c r="AR1337" s="47">
        <v>4</v>
      </c>
      <c r="AS1337" s="47" t="s">
        <v>177</v>
      </c>
      <c r="AU1337" s="47">
        <v>895</v>
      </c>
      <c r="AW1337" s="47" t="s">
        <v>1129</v>
      </c>
      <c r="AY1337" s="47">
        <v>7.4</v>
      </c>
      <c r="AZ1337" s="47">
        <v>6.4</v>
      </c>
      <c r="BA1337" s="47" t="s">
        <v>1148</v>
      </c>
      <c r="BE1337" s="47">
        <v>1.4</v>
      </c>
      <c r="BF1337" s="47">
        <v>1.34</v>
      </c>
      <c r="CF1337" s="47">
        <v>1.65</v>
      </c>
      <c r="CG1337" s="47">
        <v>2.59</v>
      </c>
      <c r="CH1337" s="47" t="s">
        <v>1134</v>
      </c>
      <c r="CI1337" s="47">
        <v>49.1</v>
      </c>
      <c r="CJ1337" s="47">
        <v>50.33</v>
      </c>
      <c r="CK1337" s="47" t="s">
        <v>1132</v>
      </c>
      <c r="CL1337" s="47">
        <v>4.623E-2</v>
      </c>
      <c r="CM1337" s="47">
        <v>4.3950000000000003E-2</v>
      </c>
      <c r="CN1337" s="47" t="s">
        <v>1147</v>
      </c>
      <c r="CR1337" s="47">
        <v>75</v>
      </c>
      <c r="CS1337" s="47">
        <v>117</v>
      </c>
      <c r="DG1337" s="47">
        <f>30/1.44</f>
        <v>20.833333333333336</v>
      </c>
      <c r="DH1337" s="47">
        <f>34.1/1.44</f>
        <v>23.680555555555557</v>
      </c>
      <c r="DI1337" s="47" t="s">
        <v>1137</v>
      </c>
      <c r="FA1337" s="47" t="s">
        <v>1145</v>
      </c>
      <c r="FC1337" s="47">
        <v>61</v>
      </c>
    </row>
    <row r="1338" spans="1:159" s="47" customFormat="1" x14ac:dyDescent="0.25">
      <c r="A1338" s="47">
        <v>61</v>
      </c>
      <c r="B1338" s="47" t="s">
        <v>1123</v>
      </c>
      <c r="C1338" s="47" t="s">
        <v>1124</v>
      </c>
      <c r="D1338" s="47">
        <v>2003</v>
      </c>
      <c r="E1338" s="47">
        <v>2000</v>
      </c>
      <c r="F1338" s="47" t="s">
        <v>1125</v>
      </c>
      <c r="G1338" s="47" t="s">
        <v>1126</v>
      </c>
      <c r="H1338" s="47">
        <v>38.74</v>
      </c>
      <c r="I1338" s="47">
        <v>-87.49</v>
      </c>
      <c r="J1338" s="47">
        <v>130</v>
      </c>
      <c r="M1338" s="47">
        <v>143.9</v>
      </c>
      <c r="P1338" s="82" t="s">
        <v>179</v>
      </c>
      <c r="Q1338" s="82" t="s">
        <v>1057</v>
      </c>
      <c r="R1338" s="82" t="s">
        <v>1130</v>
      </c>
      <c r="S1338" s="82" t="s">
        <v>1647</v>
      </c>
      <c r="T1338" s="82" t="s">
        <v>1647</v>
      </c>
      <c r="U1338" s="47">
        <v>1.44</v>
      </c>
      <c r="X1338" s="47" t="s">
        <v>168</v>
      </c>
      <c r="AB1338" s="47" t="s">
        <v>1562</v>
      </c>
      <c r="AC1338" s="47" t="s">
        <v>1811</v>
      </c>
      <c r="AD1338" s="153" t="str">
        <f t="shared" si="257"/>
        <v>Winter_wheat</v>
      </c>
      <c r="AE1338" s="47" t="s">
        <v>205</v>
      </c>
      <c r="AG1338" s="47" t="s">
        <v>1146</v>
      </c>
      <c r="AH1338" s="47" t="s">
        <v>1146</v>
      </c>
      <c r="AI1338" s="47" t="s">
        <v>230</v>
      </c>
      <c r="AJ1338" s="47" t="s">
        <v>203</v>
      </c>
      <c r="AK1338" s="47" t="s">
        <v>203</v>
      </c>
      <c r="AL1338" s="47" t="s">
        <v>230</v>
      </c>
      <c r="AP1338" s="47" t="s">
        <v>208</v>
      </c>
      <c r="AQ1338" s="47">
        <v>4</v>
      </c>
      <c r="AR1338" s="47">
        <v>4</v>
      </c>
      <c r="AS1338" s="47" t="s">
        <v>177</v>
      </c>
      <c r="AU1338" s="47">
        <v>418</v>
      </c>
      <c r="AW1338" s="47" t="s">
        <v>1128</v>
      </c>
      <c r="AY1338" s="47">
        <v>7.9</v>
      </c>
      <c r="AZ1338" s="47">
        <v>9.4</v>
      </c>
      <c r="BA1338" s="47" t="s">
        <v>1148</v>
      </c>
      <c r="BE1338" s="47">
        <v>1.55</v>
      </c>
      <c r="BF1338" s="47">
        <v>1.5</v>
      </c>
      <c r="CF1338" s="47">
        <v>1.48</v>
      </c>
      <c r="CG1338" s="47">
        <v>2.08</v>
      </c>
      <c r="CH1338" s="47" t="s">
        <v>1134</v>
      </c>
      <c r="CI1338" s="47">
        <v>41.26</v>
      </c>
      <c r="CJ1338" s="47">
        <v>42.24</v>
      </c>
      <c r="CK1338" s="47" t="s">
        <v>1132</v>
      </c>
      <c r="CL1338" s="47">
        <v>4.931E-2</v>
      </c>
      <c r="CM1338" s="47">
        <v>6.1400000000000003E-2</v>
      </c>
      <c r="CN1338" s="47" t="s">
        <v>1147</v>
      </c>
      <c r="CO1338" s="47">
        <v>18</v>
      </c>
      <c r="CP1338" s="47">
        <v>21.6</v>
      </c>
      <c r="CQ1338" s="47" t="s">
        <v>1135</v>
      </c>
      <c r="DG1338" s="47">
        <f>33.9/1.44</f>
        <v>23.541666666666668</v>
      </c>
      <c r="DH1338" s="47">
        <f>36/1.44</f>
        <v>25</v>
      </c>
      <c r="DI1338" s="47" t="s">
        <v>1137</v>
      </c>
      <c r="FA1338" s="47" t="s">
        <v>1145</v>
      </c>
      <c r="FC1338" s="47">
        <v>61</v>
      </c>
    </row>
    <row r="1339" spans="1:159" s="47" customFormat="1" x14ac:dyDescent="0.25">
      <c r="A1339" s="47">
        <v>61</v>
      </c>
      <c r="B1339" s="47" t="s">
        <v>1123</v>
      </c>
      <c r="C1339" s="47" t="s">
        <v>1124</v>
      </c>
      <c r="D1339" s="47">
        <v>2003</v>
      </c>
      <c r="E1339" s="47">
        <v>2000</v>
      </c>
      <c r="F1339" s="47" t="s">
        <v>1125</v>
      </c>
      <c r="G1339" s="47" t="s">
        <v>1126</v>
      </c>
      <c r="H1339" s="47">
        <v>38.74</v>
      </c>
      <c r="I1339" s="47">
        <v>-87.49</v>
      </c>
      <c r="J1339" s="47">
        <v>130</v>
      </c>
      <c r="M1339" s="47">
        <v>143.9</v>
      </c>
      <c r="P1339" s="82" t="s">
        <v>179</v>
      </c>
      <c r="Q1339" s="82" t="s">
        <v>1057</v>
      </c>
      <c r="R1339" s="82" t="s">
        <v>1130</v>
      </c>
      <c r="S1339" s="82" t="s">
        <v>1647</v>
      </c>
      <c r="T1339" s="82" t="s">
        <v>1647</v>
      </c>
      <c r="U1339" s="47">
        <v>1.44</v>
      </c>
      <c r="X1339" s="47" t="s">
        <v>168</v>
      </c>
      <c r="AB1339" s="47" t="s">
        <v>1562</v>
      </c>
      <c r="AC1339" s="47" t="s">
        <v>1811</v>
      </c>
      <c r="AD1339" s="153" t="str">
        <f t="shared" si="257"/>
        <v>Winter_wheat</v>
      </c>
      <c r="AE1339" s="47" t="s">
        <v>167</v>
      </c>
      <c r="AG1339" s="47" t="s">
        <v>1146</v>
      </c>
      <c r="AH1339" s="47" t="s">
        <v>1146</v>
      </c>
      <c r="AI1339" s="47" t="s">
        <v>230</v>
      </c>
      <c r="AJ1339" s="47" t="s">
        <v>203</v>
      </c>
      <c r="AK1339" s="47" t="s">
        <v>203</v>
      </c>
      <c r="AL1339" s="47" t="s">
        <v>230</v>
      </c>
      <c r="AP1339" s="47" t="s">
        <v>208</v>
      </c>
      <c r="AQ1339" s="47">
        <v>4</v>
      </c>
      <c r="AR1339" s="47">
        <v>4</v>
      </c>
      <c r="AS1339" s="47" t="s">
        <v>177</v>
      </c>
      <c r="AU1339" s="47">
        <v>743</v>
      </c>
      <c r="AW1339" s="47" t="s">
        <v>1129</v>
      </c>
      <c r="AY1339" s="47">
        <v>7.9</v>
      </c>
      <c r="AZ1339" s="47">
        <v>11.4</v>
      </c>
      <c r="BA1339" s="47" t="s">
        <v>1148</v>
      </c>
      <c r="BE1339" s="47">
        <v>1.55</v>
      </c>
      <c r="BF1339" s="47">
        <v>1.48</v>
      </c>
      <c r="CF1339" s="47">
        <v>1.48</v>
      </c>
      <c r="CG1339" s="47">
        <v>2.7</v>
      </c>
      <c r="CH1339" s="47" t="s">
        <v>1134</v>
      </c>
      <c r="CI1339" s="47">
        <v>41.26</v>
      </c>
      <c r="CJ1339" s="47">
        <v>41.55</v>
      </c>
      <c r="CK1339" s="47" t="s">
        <v>1132</v>
      </c>
      <c r="CL1339" s="47">
        <v>4.623E-2</v>
      </c>
      <c r="CM1339" s="47">
        <v>4.1669999999999999E-2</v>
      </c>
      <c r="CN1339" s="47" t="s">
        <v>1147</v>
      </c>
      <c r="DG1339" s="47">
        <f>33.9/1.44</f>
        <v>23.541666666666668</v>
      </c>
      <c r="DH1339" s="47">
        <f>37.7/1.44</f>
        <v>26.180555555555557</v>
      </c>
      <c r="DI1339" s="47" t="s">
        <v>1137</v>
      </c>
      <c r="FA1339" s="47" t="s">
        <v>1145</v>
      </c>
      <c r="FC1339" s="47">
        <v>61</v>
      </c>
    </row>
    <row r="1340" spans="1:159" s="47" customFormat="1" x14ac:dyDescent="0.25">
      <c r="A1340" s="47">
        <v>61</v>
      </c>
      <c r="B1340" s="47" t="s">
        <v>1123</v>
      </c>
      <c r="C1340" s="47" t="s">
        <v>1124</v>
      </c>
      <c r="D1340" s="47">
        <v>2003</v>
      </c>
      <c r="E1340" s="47">
        <v>2000</v>
      </c>
      <c r="F1340" s="47" t="s">
        <v>1125</v>
      </c>
      <c r="G1340" s="47" t="s">
        <v>1126</v>
      </c>
      <c r="H1340" s="47">
        <v>38.74</v>
      </c>
      <c r="I1340" s="47">
        <v>-87.49</v>
      </c>
      <c r="J1340" s="47">
        <v>130</v>
      </c>
      <c r="M1340" s="47">
        <v>143.9</v>
      </c>
      <c r="P1340" s="82" t="s">
        <v>179</v>
      </c>
      <c r="Q1340" s="82" t="s">
        <v>1057</v>
      </c>
      <c r="R1340" s="82" t="s">
        <v>1131</v>
      </c>
      <c r="S1340" s="82" t="s">
        <v>1647</v>
      </c>
      <c r="T1340" s="82" t="s">
        <v>1647</v>
      </c>
      <c r="U1340" s="47">
        <v>1.44</v>
      </c>
      <c r="X1340" s="47" t="s">
        <v>168</v>
      </c>
      <c r="AB1340" s="47" t="s">
        <v>1562</v>
      </c>
      <c r="AC1340" s="47" t="s">
        <v>1811</v>
      </c>
      <c r="AD1340" s="153" t="str">
        <f t="shared" si="257"/>
        <v>Winter_wheat</v>
      </c>
      <c r="AE1340" s="47" t="s">
        <v>205</v>
      </c>
      <c r="AG1340" s="47" t="s">
        <v>1146</v>
      </c>
      <c r="AH1340" s="47" t="s">
        <v>1146</v>
      </c>
      <c r="AI1340" s="47" t="s">
        <v>230</v>
      </c>
      <c r="AJ1340" s="47" t="s">
        <v>289</v>
      </c>
      <c r="AK1340" s="47" t="s">
        <v>289</v>
      </c>
      <c r="AL1340" s="47" t="s">
        <v>230</v>
      </c>
      <c r="AP1340" s="47" t="s">
        <v>208</v>
      </c>
      <c r="AQ1340" s="47">
        <v>4</v>
      </c>
      <c r="AR1340" s="47">
        <v>4</v>
      </c>
      <c r="AS1340" s="47" t="s">
        <v>177</v>
      </c>
      <c r="AU1340" s="47">
        <v>3096</v>
      </c>
      <c r="AW1340" s="47" t="s">
        <v>1128</v>
      </c>
      <c r="AY1340" s="47">
        <v>24.2</v>
      </c>
      <c r="AZ1340" s="47">
        <v>23.1</v>
      </c>
      <c r="BA1340" s="47" t="s">
        <v>1148</v>
      </c>
      <c r="BE1340" s="47">
        <v>1.35</v>
      </c>
      <c r="BF1340" s="47">
        <v>1.29</v>
      </c>
      <c r="CF1340" s="47">
        <v>2.38</v>
      </c>
      <c r="CG1340" s="47">
        <v>2.5</v>
      </c>
      <c r="CH1340" s="47" t="s">
        <v>1134</v>
      </c>
      <c r="CI1340" s="47">
        <v>13.93</v>
      </c>
      <c r="CJ1340" s="47">
        <v>15.24</v>
      </c>
      <c r="CK1340" s="47" t="s">
        <v>1133</v>
      </c>
      <c r="CR1340" s="47">
        <v>58.2</v>
      </c>
      <c r="CS1340" s="47">
        <v>22.2</v>
      </c>
      <c r="DG1340" s="47">
        <f>26.5/1.44</f>
        <v>18.402777777777779</v>
      </c>
      <c r="DH1340" s="47">
        <f>29.1/1.44</f>
        <v>20.208333333333336</v>
      </c>
      <c r="DI1340" s="47" t="s">
        <v>1138</v>
      </c>
      <c r="FA1340" s="47" t="s">
        <v>1145</v>
      </c>
      <c r="FC1340" s="47">
        <v>61</v>
      </c>
    </row>
    <row r="1341" spans="1:159" s="47" customFormat="1" x14ac:dyDescent="0.25">
      <c r="A1341" s="47">
        <v>61</v>
      </c>
      <c r="B1341" s="47" t="s">
        <v>1123</v>
      </c>
      <c r="C1341" s="47" t="s">
        <v>1124</v>
      </c>
      <c r="D1341" s="47">
        <v>2003</v>
      </c>
      <c r="E1341" s="47">
        <v>2000</v>
      </c>
      <c r="F1341" s="47" t="s">
        <v>1125</v>
      </c>
      <c r="G1341" s="47" t="s">
        <v>1126</v>
      </c>
      <c r="H1341" s="47">
        <v>38.74</v>
      </c>
      <c r="I1341" s="47">
        <v>-87.49</v>
      </c>
      <c r="J1341" s="47">
        <v>130</v>
      </c>
      <c r="M1341" s="47">
        <v>143.9</v>
      </c>
      <c r="P1341" s="82" t="s">
        <v>179</v>
      </c>
      <c r="Q1341" s="82" t="s">
        <v>1057</v>
      </c>
      <c r="R1341" s="82" t="s">
        <v>1131</v>
      </c>
      <c r="S1341" s="82" t="s">
        <v>1647</v>
      </c>
      <c r="T1341" s="82" t="s">
        <v>1647</v>
      </c>
      <c r="U1341" s="47">
        <v>1.44</v>
      </c>
      <c r="X1341" s="47" t="s">
        <v>168</v>
      </c>
      <c r="AB1341" s="47" t="s">
        <v>1562</v>
      </c>
      <c r="AC1341" s="47" t="s">
        <v>1811</v>
      </c>
      <c r="AD1341" s="153" t="str">
        <f t="shared" si="257"/>
        <v>Winter_wheat</v>
      </c>
      <c r="AE1341" s="47" t="s">
        <v>167</v>
      </c>
      <c r="AG1341" s="47" t="s">
        <v>1146</v>
      </c>
      <c r="AH1341" s="47" t="s">
        <v>1146</v>
      </c>
      <c r="AI1341" s="47" t="s">
        <v>230</v>
      </c>
      <c r="AJ1341" s="47" t="s">
        <v>289</v>
      </c>
      <c r="AK1341" s="47" t="s">
        <v>289</v>
      </c>
      <c r="AL1341" s="47" t="s">
        <v>230</v>
      </c>
      <c r="AP1341" s="47" t="s">
        <v>208</v>
      </c>
      <c r="AQ1341" s="47">
        <v>4</v>
      </c>
      <c r="AR1341" s="47">
        <v>4</v>
      </c>
      <c r="AS1341" s="47" t="s">
        <v>177</v>
      </c>
      <c r="AU1341" s="47">
        <v>3047</v>
      </c>
      <c r="AW1341" s="47" t="s">
        <v>1129</v>
      </c>
      <c r="AY1341" s="47">
        <v>24.2</v>
      </c>
      <c r="AZ1341" s="47">
        <v>21.4</v>
      </c>
      <c r="BA1341" s="47" t="s">
        <v>1148</v>
      </c>
      <c r="BE1341" s="47">
        <v>1.35</v>
      </c>
      <c r="BF1341" s="47">
        <v>1.32</v>
      </c>
      <c r="CF1341" s="47">
        <v>2.38</v>
      </c>
      <c r="CG1341" s="47">
        <v>3.24</v>
      </c>
      <c r="CH1341" s="47" t="s">
        <v>1134</v>
      </c>
      <c r="CI1341" s="47">
        <v>13.93</v>
      </c>
      <c r="CJ1341" s="47">
        <v>13</v>
      </c>
      <c r="CK1341" s="47" t="s">
        <v>1133</v>
      </c>
      <c r="CR1341" s="47">
        <v>58.2</v>
      </c>
      <c r="CS1341" s="47">
        <v>40.799999999999997</v>
      </c>
      <c r="DG1341" s="47">
        <f>26.5/1.44</f>
        <v>18.402777777777779</v>
      </c>
      <c r="DH1341" s="47">
        <f>29.5/1.44</f>
        <v>20.486111111111111</v>
      </c>
      <c r="DI1341" s="47" t="s">
        <v>1138</v>
      </c>
      <c r="FA1341" s="47" t="s">
        <v>1145</v>
      </c>
      <c r="FC1341" s="47">
        <v>61</v>
      </c>
    </row>
    <row r="1342" spans="1:159" s="47" customFormat="1" x14ac:dyDescent="0.25">
      <c r="A1342" s="47">
        <v>61</v>
      </c>
      <c r="B1342" s="47" t="s">
        <v>1123</v>
      </c>
      <c r="C1342" s="47" t="s">
        <v>1124</v>
      </c>
      <c r="D1342" s="47">
        <v>2003</v>
      </c>
      <c r="E1342" s="47">
        <v>2000</v>
      </c>
      <c r="F1342" s="47" t="s">
        <v>1125</v>
      </c>
      <c r="G1342" s="47" t="s">
        <v>1126</v>
      </c>
      <c r="H1342" s="47">
        <v>38.74</v>
      </c>
      <c r="I1342" s="47">
        <v>-87.49</v>
      </c>
      <c r="J1342" s="47">
        <v>130</v>
      </c>
      <c r="M1342" s="47">
        <v>143.9</v>
      </c>
      <c r="P1342" s="82" t="s">
        <v>179</v>
      </c>
      <c r="Q1342" s="82" t="s">
        <v>1057</v>
      </c>
      <c r="R1342" s="82" t="s">
        <v>1131</v>
      </c>
      <c r="S1342" s="82" t="s">
        <v>1647</v>
      </c>
      <c r="T1342" s="82" t="s">
        <v>1647</v>
      </c>
      <c r="U1342" s="47">
        <v>1.44</v>
      </c>
      <c r="X1342" s="47" t="s">
        <v>168</v>
      </c>
      <c r="AB1342" s="47" t="s">
        <v>1562</v>
      </c>
      <c r="AC1342" s="47" t="s">
        <v>1811</v>
      </c>
      <c r="AD1342" s="153" t="str">
        <f t="shared" si="257"/>
        <v>Winter_wheat</v>
      </c>
      <c r="AE1342" s="47" t="s">
        <v>205</v>
      </c>
      <c r="AG1342" s="47" t="s">
        <v>1146</v>
      </c>
      <c r="AH1342" s="47" t="s">
        <v>1146</v>
      </c>
      <c r="AI1342" s="47" t="s">
        <v>230</v>
      </c>
      <c r="AJ1342" s="47" t="s">
        <v>203</v>
      </c>
      <c r="AK1342" s="47" t="s">
        <v>203</v>
      </c>
      <c r="AL1342" s="47" t="s">
        <v>230</v>
      </c>
      <c r="AP1342" s="47" t="s">
        <v>208</v>
      </c>
      <c r="AQ1342" s="47">
        <v>4</v>
      </c>
      <c r="AR1342" s="47">
        <v>4</v>
      </c>
      <c r="AS1342" s="47" t="s">
        <v>177</v>
      </c>
      <c r="AU1342" s="47">
        <v>1823</v>
      </c>
      <c r="AW1342" s="47" t="s">
        <v>1128</v>
      </c>
      <c r="AY1342" s="47">
        <v>26.2</v>
      </c>
      <c r="AZ1342" s="47">
        <v>31.8</v>
      </c>
      <c r="BA1342" s="47" t="s">
        <v>1148</v>
      </c>
      <c r="BE1342" s="47">
        <v>1.56</v>
      </c>
      <c r="BF1342" s="47">
        <v>1.53</v>
      </c>
      <c r="CF1342" s="47">
        <v>2.4500000000000002</v>
      </c>
      <c r="CG1342" s="47">
        <v>2.63</v>
      </c>
      <c r="CH1342" s="47" t="s">
        <v>1134</v>
      </c>
      <c r="CI1342" s="47">
        <v>5.62</v>
      </c>
      <c r="CJ1342" s="47">
        <v>5.0599999999999996</v>
      </c>
      <c r="CK1342" s="47" t="s">
        <v>1133</v>
      </c>
      <c r="DG1342" s="47">
        <f>38.2/1.44</f>
        <v>26.527777777777782</v>
      </c>
      <c r="DH1342" s="47">
        <f>35.2/1.44</f>
        <v>24.444444444444446</v>
      </c>
      <c r="DI1342" s="47" t="s">
        <v>1138</v>
      </c>
      <c r="FA1342" s="47" t="s">
        <v>1145</v>
      </c>
      <c r="FC1342" s="47">
        <v>61</v>
      </c>
    </row>
    <row r="1343" spans="1:159" s="47" customFormat="1" x14ac:dyDescent="0.25">
      <c r="A1343" s="47">
        <v>61</v>
      </c>
      <c r="B1343" s="47" t="s">
        <v>1123</v>
      </c>
      <c r="C1343" s="47" t="s">
        <v>1124</v>
      </c>
      <c r="D1343" s="47">
        <v>2003</v>
      </c>
      <c r="E1343" s="47">
        <v>2000</v>
      </c>
      <c r="F1343" s="47" t="s">
        <v>1125</v>
      </c>
      <c r="G1343" s="47" t="s">
        <v>1126</v>
      </c>
      <c r="H1343" s="47">
        <v>38.74</v>
      </c>
      <c r="I1343" s="47">
        <v>-87.49</v>
      </c>
      <c r="J1343" s="47">
        <v>130</v>
      </c>
      <c r="M1343" s="47">
        <v>143.9</v>
      </c>
      <c r="P1343" s="82" t="s">
        <v>179</v>
      </c>
      <c r="Q1343" s="82" t="s">
        <v>1057</v>
      </c>
      <c r="R1343" s="82" t="s">
        <v>1131</v>
      </c>
      <c r="S1343" s="82" t="s">
        <v>1647</v>
      </c>
      <c r="T1343" s="82" t="s">
        <v>1647</v>
      </c>
      <c r="U1343" s="47">
        <v>1.44</v>
      </c>
      <c r="X1343" s="47" t="s">
        <v>168</v>
      </c>
      <c r="AB1343" s="47" t="s">
        <v>1562</v>
      </c>
      <c r="AC1343" s="47" t="s">
        <v>1811</v>
      </c>
      <c r="AD1343" s="153" t="str">
        <f t="shared" si="257"/>
        <v>Winter_wheat</v>
      </c>
      <c r="AE1343" s="47" t="s">
        <v>167</v>
      </c>
      <c r="AG1343" s="47" t="s">
        <v>1146</v>
      </c>
      <c r="AH1343" s="47" t="s">
        <v>1146</v>
      </c>
      <c r="AI1343" s="47" t="s">
        <v>230</v>
      </c>
      <c r="AJ1343" s="47" t="s">
        <v>203</v>
      </c>
      <c r="AK1343" s="47" t="s">
        <v>203</v>
      </c>
      <c r="AL1343" s="47" t="s">
        <v>230</v>
      </c>
      <c r="AP1343" s="47" t="s">
        <v>208</v>
      </c>
      <c r="AQ1343" s="47">
        <v>4</v>
      </c>
      <c r="AR1343" s="47">
        <v>4</v>
      </c>
      <c r="AS1343" s="47" t="s">
        <v>177</v>
      </c>
      <c r="AU1343" s="47">
        <v>2494</v>
      </c>
      <c r="AW1343" s="47" t="s">
        <v>1129</v>
      </c>
      <c r="AY1343" s="47">
        <v>26.2</v>
      </c>
      <c r="AZ1343" s="47">
        <v>37.9</v>
      </c>
      <c r="BA1343" s="47" t="s">
        <v>1148</v>
      </c>
      <c r="BE1343" s="47">
        <v>1.56</v>
      </c>
      <c r="BF1343" s="47">
        <v>1.55</v>
      </c>
      <c r="CF1343" s="47">
        <v>2.4500000000000002</v>
      </c>
      <c r="CG1343" s="47">
        <v>3.07</v>
      </c>
      <c r="CH1343" s="47" t="s">
        <v>1134</v>
      </c>
      <c r="CI1343" s="47">
        <v>5.62</v>
      </c>
      <c r="CJ1343" s="47">
        <v>4.72</v>
      </c>
      <c r="CK1343" s="47" t="s">
        <v>1133</v>
      </c>
      <c r="DG1343" s="47">
        <f>38.2/1.44</f>
        <v>26.527777777777782</v>
      </c>
      <c r="DH1343" s="47">
        <f>36.7/1.44</f>
        <v>25.486111111111114</v>
      </c>
      <c r="DI1343" s="47" t="s">
        <v>1138</v>
      </c>
      <c r="FA1343" s="47" t="s">
        <v>1145</v>
      </c>
      <c r="FC1343" s="47">
        <v>61</v>
      </c>
    </row>
    <row r="1344" spans="1:159" s="91" customFormat="1" x14ac:dyDescent="0.25">
      <c r="A1344" s="91">
        <v>61</v>
      </c>
      <c r="B1344" s="91" t="s">
        <v>1123</v>
      </c>
      <c r="C1344" s="91" t="s">
        <v>1124</v>
      </c>
      <c r="D1344" s="91">
        <v>2003</v>
      </c>
      <c r="E1344" s="91">
        <v>2000</v>
      </c>
      <c r="F1344" s="91" t="s">
        <v>1125</v>
      </c>
      <c r="G1344" s="91" t="s">
        <v>1127</v>
      </c>
      <c r="H1344" s="91">
        <v>40.299999999999997</v>
      </c>
      <c r="I1344" s="91">
        <v>-86.9</v>
      </c>
      <c r="J1344" s="91">
        <v>221</v>
      </c>
      <c r="M1344" s="47">
        <v>934</v>
      </c>
      <c r="P1344" s="92" t="s">
        <v>179</v>
      </c>
      <c r="Q1344" s="92" t="s">
        <v>1057</v>
      </c>
      <c r="R1344" s="92" t="s">
        <v>1130</v>
      </c>
      <c r="S1344" s="92" t="s">
        <v>1647</v>
      </c>
      <c r="T1344" s="92" t="s">
        <v>1647</v>
      </c>
      <c r="U1344" s="91">
        <v>1.42</v>
      </c>
      <c r="X1344" s="47" t="s">
        <v>168</v>
      </c>
      <c r="AB1344" s="47" t="s">
        <v>1562</v>
      </c>
      <c r="AC1344" s="91" t="s">
        <v>1811</v>
      </c>
      <c r="AD1344" s="153" t="str">
        <f t="shared" si="257"/>
        <v>Winter_wheat</v>
      </c>
      <c r="AE1344" s="91" t="s">
        <v>205</v>
      </c>
      <c r="AG1344" s="47" t="s">
        <v>1146</v>
      </c>
      <c r="AH1344" s="47" t="s">
        <v>1146</v>
      </c>
      <c r="AI1344" s="47" t="s">
        <v>230</v>
      </c>
      <c r="AJ1344" s="91" t="s">
        <v>289</v>
      </c>
      <c r="AK1344" s="91" t="s">
        <v>289</v>
      </c>
      <c r="AL1344" s="91" t="s">
        <v>230</v>
      </c>
      <c r="AP1344" s="91" t="s">
        <v>208</v>
      </c>
      <c r="AQ1344" s="91">
        <v>4</v>
      </c>
      <c r="AR1344" s="91">
        <v>4</v>
      </c>
      <c r="AS1344" s="91" t="s">
        <v>177</v>
      </c>
      <c r="AU1344" s="91">
        <v>337</v>
      </c>
      <c r="AW1344" s="91" t="s">
        <v>1128</v>
      </c>
      <c r="AY1344" s="91">
        <v>8.8000000000000007</v>
      </c>
      <c r="AZ1344" s="91">
        <v>9.3000000000000007</v>
      </c>
      <c r="BA1344" s="47" t="s">
        <v>1148</v>
      </c>
      <c r="BE1344" s="91">
        <v>1.21</v>
      </c>
      <c r="BF1344" s="91">
        <v>1.21</v>
      </c>
      <c r="CF1344" s="91">
        <v>0.88</v>
      </c>
      <c r="CG1344" s="91">
        <v>1.38</v>
      </c>
      <c r="CH1344" s="91" t="s">
        <v>1134</v>
      </c>
      <c r="CI1344" s="91">
        <v>50.67</v>
      </c>
      <c r="CJ1344" s="91">
        <v>52.25</v>
      </c>
      <c r="CK1344" s="91" t="s">
        <v>1132</v>
      </c>
      <c r="CN1344" s="47"/>
      <c r="CO1344" s="91">
        <v>39</v>
      </c>
      <c r="CP1344" s="91">
        <v>50.4</v>
      </c>
      <c r="CQ1344" s="47" t="s">
        <v>1135</v>
      </c>
      <c r="CR1344" s="91">
        <v>15.2</v>
      </c>
      <c r="CS1344" s="91">
        <v>106</v>
      </c>
      <c r="DG1344" s="91">
        <f>22.3/1.42</f>
        <v>15.704225352112678</v>
      </c>
      <c r="DH1344" s="91">
        <f>22.4/1.42</f>
        <v>15.774647887323944</v>
      </c>
      <c r="DI1344" s="91" t="s">
        <v>1137</v>
      </c>
      <c r="FA1344" s="47" t="s">
        <v>1145</v>
      </c>
      <c r="FC1344" s="91">
        <v>61</v>
      </c>
    </row>
    <row r="1345" spans="1:159" s="91" customFormat="1" x14ac:dyDescent="0.25">
      <c r="A1345" s="91">
        <v>61</v>
      </c>
      <c r="B1345" s="91" t="s">
        <v>1123</v>
      </c>
      <c r="C1345" s="91" t="s">
        <v>1124</v>
      </c>
      <c r="D1345" s="91">
        <v>2003</v>
      </c>
      <c r="E1345" s="91">
        <v>2000</v>
      </c>
      <c r="F1345" s="91" t="s">
        <v>1125</v>
      </c>
      <c r="G1345" s="91" t="s">
        <v>1127</v>
      </c>
      <c r="H1345" s="91">
        <v>40.299999999999997</v>
      </c>
      <c r="I1345" s="91">
        <v>-86.9</v>
      </c>
      <c r="J1345" s="91">
        <v>221</v>
      </c>
      <c r="M1345" s="47">
        <v>934</v>
      </c>
      <c r="P1345" s="92" t="s">
        <v>179</v>
      </c>
      <c r="Q1345" s="92" t="s">
        <v>1057</v>
      </c>
      <c r="R1345" s="92" t="s">
        <v>1130</v>
      </c>
      <c r="S1345" s="92" t="s">
        <v>1647</v>
      </c>
      <c r="T1345" s="92" t="s">
        <v>1647</v>
      </c>
      <c r="U1345" s="91">
        <v>1.42</v>
      </c>
      <c r="X1345" s="47" t="s">
        <v>168</v>
      </c>
      <c r="AB1345" s="47" t="s">
        <v>1562</v>
      </c>
      <c r="AC1345" s="91" t="s">
        <v>1811</v>
      </c>
      <c r="AD1345" s="153" t="str">
        <f t="shared" si="257"/>
        <v>Winter_wheat</v>
      </c>
      <c r="AE1345" s="91" t="s">
        <v>167</v>
      </c>
      <c r="AG1345" s="47" t="s">
        <v>1146</v>
      </c>
      <c r="AH1345" s="47" t="s">
        <v>1146</v>
      </c>
      <c r="AI1345" s="47" t="s">
        <v>230</v>
      </c>
      <c r="AJ1345" s="91" t="s">
        <v>289</v>
      </c>
      <c r="AK1345" s="91" t="s">
        <v>289</v>
      </c>
      <c r="AL1345" s="91" t="s">
        <v>230</v>
      </c>
      <c r="AP1345" s="91" t="s">
        <v>208</v>
      </c>
      <c r="AQ1345" s="91">
        <v>4</v>
      </c>
      <c r="AR1345" s="91">
        <v>4</v>
      </c>
      <c r="AS1345" s="91" t="s">
        <v>177</v>
      </c>
      <c r="AU1345" s="91">
        <v>718</v>
      </c>
      <c r="AW1345" s="91" t="s">
        <v>1129</v>
      </c>
      <c r="AY1345" s="91">
        <v>8.8000000000000007</v>
      </c>
      <c r="AZ1345" s="91">
        <v>8.6</v>
      </c>
      <c r="BA1345" s="47" t="s">
        <v>1148</v>
      </c>
      <c r="BE1345" s="91">
        <v>1.21</v>
      </c>
      <c r="BF1345" s="91">
        <v>1.21</v>
      </c>
      <c r="CF1345" s="91">
        <v>0.88</v>
      </c>
      <c r="CG1345" s="91">
        <v>1.22</v>
      </c>
      <c r="CH1345" s="91" t="s">
        <v>1134</v>
      </c>
      <c r="CI1345" s="91">
        <v>50.67</v>
      </c>
      <c r="CJ1345" s="91">
        <v>50.97</v>
      </c>
      <c r="CK1345" s="91" t="s">
        <v>1132</v>
      </c>
      <c r="CN1345" s="47"/>
      <c r="CQ1345" s="47"/>
      <c r="CR1345" s="91">
        <v>15.2</v>
      </c>
      <c r="CS1345" s="91">
        <v>6.5</v>
      </c>
      <c r="DG1345" s="91">
        <f>22.3/1.42</f>
        <v>15.704225352112678</v>
      </c>
      <c r="DH1345" s="91">
        <f>24.2/1.42</f>
        <v>17.04225352112676</v>
      </c>
      <c r="DI1345" s="91" t="s">
        <v>1137</v>
      </c>
      <c r="FA1345" s="47" t="s">
        <v>1145</v>
      </c>
      <c r="FC1345" s="91">
        <v>61</v>
      </c>
    </row>
    <row r="1346" spans="1:159" s="91" customFormat="1" x14ac:dyDescent="0.25">
      <c r="A1346" s="91">
        <v>61</v>
      </c>
      <c r="B1346" s="91" t="s">
        <v>1123</v>
      </c>
      <c r="C1346" s="91" t="s">
        <v>1124</v>
      </c>
      <c r="D1346" s="91">
        <v>2003</v>
      </c>
      <c r="E1346" s="91">
        <v>2000</v>
      </c>
      <c r="F1346" s="91" t="s">
        <v>1125</v>
      </c>
      <c r="G1346" s="91" t="s">
        <v>1127</v>
      </c>
      <c r="H1346" s="91">
        <v>40.299999999999997</v>
      </c>
      <c r="I1346" s="91">
        <v>-86.9</v>
      </c>
      <c r="J1346" s="91">
        <v>221</v>
      </c>
      <c r="M1346" s="47">
        <v>934</v>
      </c>
      <c r="P1346" s="92" t="s">
        <v>179</v>
      </c>
      <c r="Q1346" s="92" t="s">
        <v>1057</v>
      </c>
      <c r="R1346" s="92" t="s">
        <v>1130</v>
      </c>
      <c r="S1346" s="92" t="s">
        <v>1647</v>
      </c>
      <c r="T1346" s="92" t="s">
        <v>1647</v>
      </c>
      <c r="U1346" s="91">
        <v>1.42</v>
      </c>
      <c r="X1346" s="47" t="s">
        <v>168</v>
      </c>
      <c r="AB1346" s="47" t="s">
        <v>1562</v>
      </c>
      <c r="AC1346" s="91" t="s">
        <v>1811</v>
      </c>
      <c r="AD1346" s="153" t="str">
        <f t="shared" si="257"/>
        <v>Winter_wheat</v>
      </c>
      <c r="AE1346" s="91" t="s">
        <v>205</v>
      </c>
      <c r="AG1346" s="47" t="s">
        <v>1146</v>
      </c>
      <c r="AH1346" s="47" t="s">
        <v>1146</v>
      </c>
      <c r="AI1346" s="47" t="s">
        <v>230</v>
      </c>
      <c r="AJ1346" s="91" t="s">
        <v>203</v>
      </c>
      <c r="AK1346" s="91" t="s">
        <v>203</v>
      </c>
      <c r="AL1346" s="91" t="s">
        <v>230</v>
      </c>
      <c r="AP1346" s="91" t="s">
        <v>208</v>
      </c>
      <c r="AQ1346" s="91">
        <v>4</v>
      </c>
      <c r="AR1346" s="91">
        <v>4</v>
      </c>
      <c r="AS1346" s="91" t="s">
        <v>177</v>
      </c>
      <c r="AU1346" s="91">
        <v>175</v>
      </c>
      <c r="AW1346" s="91" t="s">
        <v>1128</v>
      </c>
      <c r="AY1346" s="91">
        <v>10.1</v>
      </c>
      <c r="AZ1346" s="91">
        <v>10.3</v>
      </c>
      <c r="BA1346" s="47" t="s">
        <v>1148</v>
      </c>
      <c r="BE1346" s="91">
        <v>1.31</v>
      </c>
      <c r="BF1346" s="91">
        <v>1.38</v>
      </c>
      <c r="CF1346" s="91">
        <v>1.0900000000000001</v>
      </c>
      <c r="CG1346" s="91">
        <v>1.25</v>
      </c>
      <c r="CH1346" s="91" t="s">
        <v>1134</v>
      </c>
      <c r="CI1346" s="91">
        <v>43.68</v>
      </c>
      <c r="CJ1346" s="91">
        <v>41.8</v>
      </c>
      <c r="CK1346" s="91" t="s">
        <v>1132</v>
      </c>
      <c r="CN1346" s="47"/>
      <c r="CO1346" s="91">
        <v>62.400000000000006</v>
      </c>
      <c r="CP1346" s="91">
        <v>57</v>
      </c>
      <c r="CQ1346" s="47" t="s">
        <v>1135</v>
      </c>
      <c r="DG1346" s="91">
        <f>24.5/1.42</f>
        <v>17.253521126760564</v>
      </c>
      <c r="DH1346" s="91">
        <f>27.4/1.42</f>
        <v>19.295774647887324</v>
      </c>
      <c r="DI1346" s="91" t="s">
        <v>1137</v>
      </c>
      <c r="FA1346" s="47" t="s">
        <v>1145</v>
      </c>
      <c r="FC1346" s="91">
        <v>61</v>
      </c>
    </row>
    <row r="1347" spans="1:159" s="91" customFormat="1" x14ac:dyDescent="0.25">
      <c r="A1347" s="91">
        <v>61</v>
      </c>
      <c r="B1347" s="91" t="s">
        <v>1123</v>
      </c>
      <c r="C1347" s="91" t="s">
        <v>1124</v>
      </c>
      <c r="D1347" s="91">
        <v>2003</v>
      </c>
      <c r="E1347" s="91">
        <v>2000</v>
      </c>
      <c r="F1347" s="91" t="s">
        <v>1125</v>
      </c>
      <c r="G1347" s="91" t="s">
        <v>1127</v>
      </c>
      <c r="H1347" s="91">
        <v>40.299999999999997</v>
      </c>
      <c r="I1347" s="91">
        <v>-86.9</v>
      </c>
      <c r="J1347" s="91">
        <v>221</v>
      </c>
      <c r="M1347" s="47">
        <v>934</v>
      </c>
      <c r="P1347" s="92" t="s">
        <v>179</v>
      </c>
      <c r="Q1347" s="92" t="s">
        <v>1057</v>
      </c>
      <c r="R1347" s="92" t="s">
        <v>1130</v>
      </c>
      <c r="S1347" s="92" t="s">
        <v>1647</v>
      </c>
      <c r="T1347" s="92" t="s">
        <v>1647</v>
      </c>
      <c r="U1347" s="91">
        <v>1.42</v>
      </c>
      <c r="X1347" s="47" t="s">
        <v>168</v>
      </c>
      <c r="AB1347" s="47" t="s">
        <v>1562</v>
      </c>
      <c r="AC1347" s="91" t="s">
        <v>1811</v>
      </c>
      <c r="AD1347" s="153" t="str">
        <f t="shared" ref="AD1347:AD1410" si="262">IF(OR(AC1347="*Rye",AC1347="Rye*",AC1347="Downy_brome"),"Rye",IF(OR(AC1347="*Oat",AC1347="Oat*",AC1347="Trudan_8",AC1347="*Wheat",AC1347="Wheat*",AC1347="Barley*",AC1347="Hemp",AC1347="Hemp",AC1347="Triticale*",AC1347="Grass",AC1347="Millet"),"Grass",IF(OR(AC1347="*clover",AC1347="clover*",AC1347="Vetch*",AC1347="Vetch*",AC1347="Alfalfa",AC1347="Soybean",AC1347="*Lentil",AC1347="Lentil*",AC1347="*Pea",AC1347="Pea*",AC1347="Lupine"),"Legume",AC1347)))</f>
        <v>Winter_wheat</v>
      </c>
      <c r="AE1347" s="91" t="s">
        <v>167</v>
      </c>
      <c r="AG1347" s="47" t="s">
        <v>1146</v>
      </c>
      <c r="AH1347" s="47" t="s">
        <v>1146</v>
      </c>
      <c r="AI1347" s="47" t="s">
        <v>230</v>
      </c>
      <c r="AJ1347" s="91" t="s">
        <v>203</v>
      </c>
      <c r="AK1347" s="91" t="s">
        <v>203</v>
      </c>
      <c r="AL1347" s="91" t="s">
        <v>230</v>
      </c>
      <c r="AP1347" s="91" t="s">
        <v>208</v>
      </c>
      <c r="AQ1347" s="91">
        <v>4</v>
      </c>
      <c r="AR1347" s="91">
        <v>4</v>
      </c>
      <c r="AS1347" s="91" t="s">
        <v>177</v>
      </c>
      <c r="AU1347" s="91">
        <v>411</v>
      </c>
      <c r="AW1347" s="91" t="s">
        <v>1129</v>
      </c>
      <c r="AY1347" s="91">
        <v>10.1</v>
      </c>
      <c r="AZ1347" s="91">
        <v>10.7</v>
      </c>
      <c r="BA1347" s="47" t="s">
        <v>1148</v>
      </c>
      <c r="BE1347" s="91">
        <v>1.31</v>
      </c>
      <c r="BF1347" s="91">
        <v>1.34</v>
      </c>
      <c r="CF1347" s="91">
        <v>1.0900000000000001</v>
      </c>
      <c r="CG1347" s="91">
        <v>1.32</v>
      </c>
      <c r="CH1347" s="91" t="s">
        <v>1134</v>
      </c>
      <c r="CI1347" s="91">
        <v>43.68</v>
      </c>
      <c r="CJ1347" s="91">
        <v>41.93</v>
      </c>
      <c r="CK1347" s="91" t="s">
        <v>1132</v>
      </c>
      <c r="DG1347" s="91">
        <f>24.5/1.42</f>
        <v>17.253521126760564</v>
      </c>
      <c r="DH1347" s="91">
        <f>29/1.42</f>
        <v>20.422535211267608</v>
      </c>
      <c r="DI1347" s="91" t="s">
        <v>1137</v>
      </c>
      <c r="FA1347" s="47" t="s">
        <v>1145</v>
      </c>
      <c r="FC1347" s="91">
        <v>61</v>
      </c>
    </row>
    <row r="1348" spans="1:159" s="91" customFormat="1" x14ac:dyDescent="0.25">
      <c r="A1348" s="91">
        <v>61</v>
      </c>
      <c r="B1348" s="91" t="s">
        <v>1123</v>
      </c>
      <c r="C1348" s="91" t="s">
        <v>1124</v>
      </c>
      <c r="D1348" s="91">
        <v>2003</v>
      </c>
      <c r="E1348" s="91">
        <v>2000</v>
      </c>
      <c r="F1348" s="91" t="s">
        <v>1125</v>
      </c>
      <c r="G1348" s="91" t="s">
        <v>1127</v>
      </c>
      <c r="H1348" s="91">
        <v>40.299999999999997</v>
      </c>
      <c r="I1348" s="91">
        <v>-86.9</v>
      </c>
      <c r="J1348" s="91">
        <v>221</v>
      </c>
      <c r="M1348" s="47">
        <v>934</v>
      </c>
      <c r="P1348" s="92" t="s">
        <v>179</v>
      </c>
      <c r="Q1348" s="92" t="s">
        <v>1057</v>
      </c>
      <c r="R1348" s="92" t="s">
        <v>1131</v>
      </c>
      <c r="S1348" s="92" t="s">
        <v>1647</v>
      </c>
      <c r="T1348" s="92" t="s">
        <v>1647</v>
      </c>
      <c r="U1348" s="91">
        <v>1.42</v>
      </c>
      <c r="X1348" s="47" t="s">
        <v>168</v>
      </c>
      <c r="AB1348" s="47" t="s">
        <v>1562</v>
      </c>
      <c r="AC1348" s="91" t="s">
        <v>1811</v>
      </c>
      <c r="AD1348" s="153" t="str">
        <f t="shared" si="262"/>
        <v>Winter_wheat</v>
      </c>
      <c r="AE1348" s="91" t="s">
        <v>205</v>
      </c>
      <c r="AG1348" s="47" t="s">
        <v>1146</v>
      </c>
      <c r="AH1348" s="47" t="s">
        <v>1146</v>
      </c>
      <c r="AI1348" s="47" t="s">
        <v>230</v>
      </c>
      <c r="AJ1348" s="91" t="s">
        <v>289</v>
      </c>
      <c r="AK1348" s="91" t="s">
        <v>289</v>
      </c>
      <c r="AL1348" s="91" t="s">
        <v>230</v>
      </c>
      <c r="AP1348" s="91" t="s">
        <v>208</v>
      </c>
      <c r="AQ1348" s="91">
        <v>4</v>
      </c>
      <c r="AR1348" s="91">
        <v>4</v>
      </c>
      <c r="AS1348" s="91" t="s">
        <v>177</v>
      </c>
      <c r="AU1348" s="91">
        <v>965</v>
      </c>
      <c r="AW1348" s="91" t="s">
        <v>1128</v>
      </c>
      <c r="AY1348" s="91">
        <v>15.9</v>
      </c>
      <c r="AZ1348" s="91">
        <v>16.8</v>
      </c>
      <c r="BA1348" s="47" t="s">
        <v>1148</v>
      </c>
      <c r="BE1348" s="91">
        <v>1.31</v>
      </c>
      <c r="BF1348" s="91">
        <v>1.27</v>
      </c>
      <c r="CF1348" s="91">
        <v>1.88</v>
      </c>
      <c r="CG1348" s="91">
        <v>2.4</v>
      </c>
      <c r="CH1348" s="91" t="s">
        <v>1134</v>
      </c>
      <c r="CI1348" s="91">
        <v>16.95</v>
      </c>
      <c r="CJ1348" s="91">
        <v>20.34</v>
      </c>
      <c r="CK1348" s="91" t="s">
        <v>1132</v>
      </c>
      <c r="CR1348" s="91">
        <v>14.1</v>
      </c>
      <c r="CS1348" s="91">
        <v>5.6</v>
      </c>
      <c r="DG1348" s="91">
        <f>24.1/1.42</f>
        <v>16.971830985915496</v>
      </c>
      <c r="DH1348" s="91">
        <f>24.1/1.42</f>
        <v>16.971830985915496</v>
      </c>
      <c r="DI1348" s="91" t="s">
        <v>1138</v>
      </c>
      <c r="FA1348" s="47" t="s">
        <v>1145</v>
      </c>
      <c r="FC1348" s="91">
        <v>61</v>
      </c>
    </row>
    <row r="1349" spans="1:159" s="91" customFormat="1" x14ac:dyDescent="0.25">
      <c r="A1349" s="91">
        <v>61</v>
      </c>
      <c r="B1349" s="91" t="s">
        <v>1123</v>
      </c>
      <c r="C1349" s="91" t="s">
        <v>1124</v>
      </c>
      <c r="D1349" s="91">
        <v>2003</v>
      </c>
      <c r="E1349" s="91">
        <v>2000</v>
      </c>
      <c r="F1349" s="91" t="s">
        <v>1125</v>
      </c>
      <c r="G1349" s="91" t="s">
        <v>1127</v>
      </c>
      <c r="H1349" s="91">
        <v>40.299999999999997</v>
      </c>
      <c r="I1349" s="91">
        <v>-86.9</v>
      </c>
      <c r="J1349" s="91">
        <v>221</v>
      </c>
      <c r="M1349" s="47">
        <v>934</v>
      </c>
      <c r="P1349" s="92" t="s">
        <v>179</v>
      </c>
      <c r="Q1349" s="92" t="s">
        <v>1057</v>
      </c>
      <c r="R1349" s="92" t="s">
        <v>1131</v>
      </c>
      <c r="S1349" s="92" t="s">
        <v>1647</v>
      </c>
      <c r="T1349" s="92" t="s">
        <v>1647</v>
      </c>
      <c r="U1349" s="91">
        <v>1.42</v>
      </c>
      <c r="X1349" s="47" t="s">
        <v>168</v>
      </c>
      <c r="AB1349" s="47" t="s">
        <v>1562</v>
      </c>
      <c r="AC1349" s="91" t="s">
        <v>1811</v>
      </c>
      <c r="AD1349" s="153" t="str">
        <f t="shared" si="262"/>
        <v>Winter_wheat</v>
      </c>
      <c r="AE1349" s="91" t="s">
        <v>167</v>
      </c>
      <c r="AG1349" s="47" t="s">
        <v>1146</v>
      </c>
      <c r="AH1349" s="47" t="s">
        <v>1146</v>
      </c>
      <c r="AI1349" s="47" t="s">
        <v>230</v>
      </c>
      <c r="AJ1349" s="91" t="s">
        <v>289</v>
      </c>
      <c r="AK1349" s="91" t="s">
        <v>289</v>
      </c>
      <c r="AL1349" s="91" t="s">
        <v>230</v>
      </c>
      <c r="AP1349" s="91" t="s">
        <v>208</v>
      </c>
      <c r="AQ1349" s="91">
        <v>4</v>
      </c>
      <c r="AR1349" s="91">
        <v>4</v>
      </c>
      <c r="AS1349" s="91" t="s">
        <v>177</v>
      </c>
      <c r="AU1349" s="91">
        <v>1672</v>
      </c>
      <c r="AW1349" s="91" t="s">
        <v>1129</v>
      </c>
      <c r="AY1349" s="91">
        <v>15.9</v>
      </c>
      <c r="AZ1349" s="91">
        <v>15.5</v>
      </c>
      <c r="BA1349" s="47" t="s">
        <v>1148</v>
      </c>
      <c r="BE1349" s="91">
        <v>1.31</v>
      </c>
      <c r="BF1349" s="91">
        <v>1.3</v>
      </c>
      <c r="CF1349" s="91">
        <v>1.88</v>
      </c>
      <c r="CG1349" s="91">
        <v>2.2799999999999998</v>
      </c>
      <c r="CH1349" s="91" t="s">
        <v>1134</v>
      </c>
      <c r="CI1349" s="91">
        <v>16.95</v>
      </c>
      <c r="CJ1349" s="91">
        <v>17.91</v>
      </c>
      <c r="CK1349" s="91" t="s">
        <v>1132</v>
      </c>
      <c r="CR1349" s="91">
        <v>14.1</v>
      </c>
      <c r="CS1349" s="91">
        <v>5.8</v>
      </c>
      <c r="DG1349" s="91">
        <f>24.1/1.42</f>
        <v>16.971830985915496</v>
      </c>
      <c r="DH1349" s="91">
        <f>27/1.42</f>
        <v>19.014084507042256</v>
      </c>
      <c r="DI1349" s="91" t="s">
        <v>1138</v>
      </c>
      <c r="FA1349" s="47" t="s">
        <v>1145</v>
      </c>
      <c r="FC1349" s="91">
        <v>61</v>
      </c>
    </row>
    <row r="1350" spans="1:159" s="91" customFormat="1" x14ac:dyDescent="0.25">
      <c r="A1350" s="91">
        <v>61</v>
      </c>
      <c r="B1350" s="91" t="s">
        <v>1123</v>
      </c>
      <c r="C1350" s="91" t="s">
        <v>1124</v>
      </c>
      <c r="D1350" s="91">
        <v>2003</v>
      </c>
      <c r="E1350" s="91">
        <v>2000</v>
      </c>
      <c r="F1350" s="91" t="s">
        <v>1125</v>
      </c>
      <c r="G1350" s="91" t="s">
        <v>1127</v>
      </c>
      <c r="H1350" s="91">
        <v>40.299999999999997</v>
      </c>
      <c r="I1350" s="91">
        <v>-86.9</v>
      </c>
      <c r="J1350" s="91">
        <v>221</v>
      </c>
      <c r="M1350" s="47">
        <v>934</v>
      </c>
      <c r="P1350" s="92" t="s">
        <v>179</v>
      </c>
      <c r="Q1350" s="92" t="s">
        <v>1057</v>
      </c>
      <c r="R1350" s="92" t="s">
        <v>1131</v>
      </c>
      <c r="S1350" s="92" t="s">
        <v>1647</v>
      </c>
      <c r="T1350" s="92" t="s">
        <v>1647</v>
      </c>
      <c r="U1350" s="91">
        <v>1.42</v>
      </c>
      <c r="X1350" s="47" t="s">
        <v>168</v>
      </c>
      <c r="AB1350" s="47" t="s">
        <v>1562</v>
      </c>
      <c r="AC1350" s="91" t="s">
        <v>1811</v>
      </c>
      <c r="AD1350" s="153" t="str">
        <f t="shared" si="262"/>
        <v>Winter_wheat</v>
      </c>
      <c r="AE1350" s="91" t="s">
        <v>205</v>
      </c>
      <c r="AG1350" s="47" t="s">
        <v>1146</v>
      </c>
      <c r="AH1350" s="47" t="s">
        <v>1146</v>
      </c>
      <c r="AI1350" s="47" t="s">
        <v>230</v>
      </c>
      <c r="AJ1350" s="91" t="s">
        <v>203</v>
      </c>
      <c r="AK1350" s="91" t="s">
        <v>203</v>
      </c>
      <c r="AL1350" s="91" t="s">
        <v>230</v>
      </c>
      <c r="AP1350" s="91" t="s">
        <v>208</v>
      </c>
      <c r="AQ1350" s="91">
        <v>4</v>
      </c>
      <c r="AR1350" s="91">
        <v>4</v>
      </c>
      <c r="AS1350" s="91" t="s">
        <v>177</v>
      </c>
      <c r="AU1350" s="91">
        <v>568</v>
      </c>
      <c r="AW1350" s="91" t="s">
        <v>1128</v>
      </c>
      <c r="AY1350" s="91">
        <v>16.899999999999999</v>
      </c>
      <c r="AZ1350" s="91">
        <v>17.5</v>
      </c>
      <c r="BA1350" s="47" t="s">
        <v>1148</v>
      </c>
      <c r="BE1350" s="91">
        <v>1.49</v>
      </c>
      <c r="BF1350" s="91">
        <v>1.54</v>
      </c>
      <c r="CF1350" s="91">
        <v>1.73</v>
      </c>
      <c r="CG1350" s="91">
        <v>2.11</v>
      </c>
      <c r="CH1350" s="91" t="s">
        <v>1134</v>
      </c>
      <c r="CI1350" s="91">
        <v>10.64</v>
      </c>
      <c r="CJ1350" s="91">
        <v>7.78</v>
      </c>
      <c r="CK1350" s="91" t="s">
        <v>1132</v>
      </c>
      <c r="DG1350" s="91">
        <f>26.6/1.42</f>
        <v>18.732394366197184</v>
      </c>
      <c r="DH1350" s="91">
        <f>28.1/1.42</f>
        <v>19.7887323943662</v>
      </c>
      <c r="DI1350" s="91" t="s">
        <v>1138</v>
      </c>
      <c r="FA1350" s="47" t="s">
        <v>1145</v>
      </c>
      <c r="FC1350" s="91">
        <v>61</v>
      </c>
    </row>
    <row r="1351" spans="1:159" s="91" customFormat="1" x14ac:dyDescent="0.25">
      <c r="A1351" s="91">
        <v>61</v>
      </c>
      <c r="B1351" s="91" t="s">
        <v>1123</v>
      </c>
      <c r="C1351" s="91" t="s">
        <v>1124</v>
      </c>
      <c r="D1351" s="91">
        <v>2003</v>
      </c>
      <c r="E1351" s="91">
        <v>2000</v>
      </c>
      <c r="F1351" s="91" t="s">
        <v>1125</v>
      </c>
      <c r="G1351" s="91" t="s">
        <v>1127</v>
      </c>
      <c r="H1351" s="91">
        <v>40.299999999999997</v>
      </c>
      <c r="I1351" s="91">
        <v>-86.9</v>
      </c>
      <c r="J1351" s="91">
        <v>221</v>
      </c>
      <c r="M1351" s="47">
        <v>934</v>
      </c>
      <c r="P1351" s="92" t="s">
        <v>179</v>
      </c>
      <c r="Q1351" s="92" t="s">
        <v>1057</v>
      </c>
      <c r="R1351" s="92" t="s">
        <v>1131</v>
      </c>
      <c r="S1351" s="92" t="s">
        <v>1647</v>
      </c>
      <c r="T1351" s="92" t="s">
        <v>1647</v>
      </c>
      <c r="U1351" s="91">
        <v>1.42</v>
      </c>
      <c r="X1351" s="47" t="s">
        <v>168</v>
      </c>
      <c r="AB1351" s="47" t="s">
        <v>1562</v>
      </c>
      <c r="AC1351" s="91" t="s">
        <v>1811</v>
      </c>
      <c r="AD1351" s="153" t="str">
        <f t="shared" si="262"/>
        <v>Winter_wheat</v>
      </c>
      <c r="AE1351" s="91" t="s">
        <v>167</v>
      </c>
      <c r="AG1351" s="47" t="s">
        <v>1146</v>
      </c>
      <c r="AH1351" s="47" t="s">
        <v>1146</v>
      </c>
      <c r="AI1351" s="47" t="s">
        <v>230</v>
      </c>
      <c r="AJ1351" s="91" t="s">
        <v>203</v>
      </c>
      <c r="AK1351" s="91" t="s">
        <v>203</v>
      </c>
      <c r="AL1351" s="91" t="s">
        <v>230</v>
      </c>
      <c r="AP1351" s="91" t="s">
        <v>208</v>
      </c>
      <c r="AQ1351" s="91">
        <v>4</v>
      </c>
      <c r="AR1351" s="91">
        <v>4</v>
      </c>
      <c r="AS1351" s="91" t="s">
        <v>177</v>
      </c>
      <c r="AU1351" s="91">
        <v>1160</v>
      </c>
      <c r="AW1351" s="91" t="s">
        <v>1129</v>
      </c>
      <c r="AY1351" s="91">
        <v>16.899999999999999</v>
      </c>
      <c r="AZ1351" s="91">
        <v>17.3</v>
      </c>
      <c r="BA1351" s="47" t="s">
        <v>1148</v>
      </c>
      <c r="BE1351" s="91">
        <v>1.49</v>
      </c>
      <c r="BF1351" s="91">
        <v>1.54</v>
      </c>
      <c r="CF1351" s="91">
        <v>1.73</v>
      </c>
      <c r="CG1351" s="91">
        <v>1.93</v>
      </c>
      <c r="CH1351" s="91" t="s">
        <v>1134</v>
      </c>
      <c r="CI1351" s="91">
        <v>10.64</v>
      </c>
      <c r="CJ1351" s="91">
        <v>7</v>
      </c>
      <c r="CK1351" s="91" t="s">
        <v>1132</v>
      </c>
      <c r="DG1351" s="91">
        <f>26.6/1.42</f>
        <v>18.732394366197184</v>
      </c>
      <c r="DH1351" s="91">
        <f>29.3/1.42</f>
        <v>20.633802816901412</v>
      </c>
      <c r="DI1351" s="91" t="s">
        <v>1138</v>
      </c>
      <c r="FA1351" s="47" t="s">
        <v>1145</v>
      </c>
      <c r="FC1351" s="91">
        <v>61</v>
      </c>
    </row>
    <row r="1352" spans="1:159" s="26" customFormat="1" x14ac:dyDescent="0.25">
      <c r="A1352" s="26">
        <v>61</v>
      </c>
      <c r="B1352" s="26" t="s">
        <v>1123</v>
      </c>
      <c r="C1352" s="26" t="s">
        <v>1124</v>
      </c>
      <c r="D1352" s="26">
        <v>2003</v>
      </c>
      <c r="E1352" s="26">
        <v>2001</v>
      </c>
      <c r="F1352" s="26" t="s">
        <v>1125</v>
      </c>
      <c r="G1352" s="26" t="s">
        <v>1126</v>
      </c>
      <c r="H1352" s="26">
        <v>38.74</v>
      </c>
      <c r="I1352" s="26">
        <v>-87.49</v>
      </c>
      <c r="J1352" s="26">
        <v>130</v>
      </c>
      <c r="M1352" s="26">
        <v>1272</v>
      </c>
      <c r="P1352" s="52" t="s">
        <v>180</v>
      </c>
      <c r="Q1352" s="52" t="s">
        <v>1057</v>
      </c>
      <c r="R1352" s="52" t="s">
        <v>1130</v>
      </c>
      <c r="S1352" s="52" t="s">
        <v>1647</v>
      </c>
      <c r="T1352" s="52" t="s">
        <v>1647</v>
      </c>
      <c r="U1352" s="26">
        <v>1.44</v>
      </c>
      <c r="X1352" s="26" t="s">
        <v>168</v>
      </c>
      <c r="AB1352" s="26" t="s">
        <v>1562</v>
      </c>
      <c r="AC1352" s="26" t="s">
        <v>1811</v>
      </c>
      <c r="AD1352" s="153" t="str">
        <f t="shared" si="262"/>
        <v>Winter_wheat</v>
      </c>
      <c r="AE1352" s="26" t="s">
        <v>205</v>
      </c>
      <c r="AG1352" s="26" t="s">
        <v>1146</v>
      </c>
      <c r="AH1352" s="26" t="s">
        <v>1146</v>
      </c>
      <c r="AI1352" s="26" t="s">
        <v>230</v>
      </c>
      <c r="AJ1352" s="26" t="s">
        <v>289</v>
      </c>
      <c r="AK1352" s="26" t="s">
        <v>289</v>
      </c>
      <c r="AL1352" s="26" t="s">
        <v>230</v>
      </c>
      <c r="AP1352" s="26" t="s">
        <v>208</v>
      </c>
      <c r="AQ1352" s="26">
        <v>4</v>
      </c>
      <c r="AR1352" s="26">
        <v>4</v>
      </c>
      <c r="AS1352" s="26" t="s">
        <v>177</v>
      </c>
      <c r="AW1352" s="26" t="s">
        <v>1128</v>
      </c>
      <c r="AY1352" s="26">
        <v>9.5</v>
      </c>
      <c r="AZ1352" s="26">
        <v>10.1</v>
      </c>
      <c r="BA1352" s="26" t="s">
        <v>1148</v>
      </c>
      <c r="BE1352" s="26">
        <v>1.41</v>
      </c>
      <c r="BF1352" s="26">
        <v>1.39</v>
      </c>
      <c r="CF1352" s="26">
        <v>2.2400000000000002</v>
      </c>
      <c r="CG1352" s="26">
        <v>2.97</v>
      </c>
      <c r="CH1352" s="26" t="s">
        <v>1134</v>
      </c>
      <c r="CI1352" s="26">
        <v>46.87</v>
      </c>
      <c r="CJ1352" s="26">
        <v>50.08</v>
      </c>
      <c r="CK1352" s="26" t="s">
        <v>1132</v>
      </c>
      <c r="CL1352" s="26">
        <v>1.32</v>
      </c>
      <c r="CM1352" s="26">
        <v>1.2</v>
      </c>
      <c r="CN1352" s="26" t="s">
        <v>1147</v>
      </c>
      <c r="DD1352" s="26">
        <v>19.5</v>
      </c>
      <c r="DE1352" s="26">
        <v>18.7</v>
      </c>
      <c r="FA1352" s="26" t="s">
        <v>1145</v>
      </c>
      <c r="FC1352" s="26">
        <v>61</v>
      </c>
    </row>
    <row r="1353" spans="1:159" s="26" customFormat="1" x14ac:dyDescent="0.25">
      <c r="A1353" s="26">
        <v>61</v>
      </c>
      <c r="B1353" s="26" t="s">
        <v>1123</v>
      </c>
      <c r="C1353" s="26" t="s">
        <v>1124</v>
      </c>
      <c r="D1353" s="26">
        <v>2003</v>
      </c>
      <c r="E1353" s="26">
        <v>2001</v>
      </c>
      <c r="F1353" s="26" t="s">
        <v>1125</v>
      </c>
      <c r="G1353" s="26" t="s">
        <v>1126</v>
      </c>
      <c r="H1353" s="26">
        <v>38.74</v>
      </c>
      <c r="I1353" s="26">
        <v>-87.49</v>
      </c>
      <c r="J1353" s="26">
        <v>130</v>
      </c>
      <c r="M1353" s="26">
        <v>1272</v>
      </c>
      <c r="P1353" s="52" t="s">
        <v>180</v>
      </c>
      <c r="Q1353" s="52" t="s">
        <v>1057</v>
      </c>
      <c r="R1353" s="52" t="s">
        <v>1130</v>
      </c>
      <c r="S1353" s="52" t="s">
        <v>1647</v>
      </c>
      <c r="T1353" s="52" t="s">
        <v>1647</v>
      </c>
      <c r="U1353" s="26">
        <v>1.44</v>
      </c>
      <c r="X1353" s="26" t="s">
        <v>168</v>
      </c>
      <c r="AB1353" s="26" t="s">
        <v>1562</v>
      </c>
      <c r="AC1353" s="26" t="s">
        <v>1811</v>
      </c>
      <c r="AD1353" s="153" t="str">
        <f t="shared" si="262"/>
        <v>Winter_wheat</v>
      </c>
      <c r="AE1353" s="26" t="s">
        <v>167</v>
      </c>
      <c r="AG1353" s="26" t="s">
        <v>1146</v>
      </c>
      <c r="AH1353" s="26" t="s">
        <v>1146</v>
      </c>
      <c r="AI1353" s="26" t="s">
        <v>230</v>
      </c>
      <c r="AJ1353" s="26" t="s">
        <v>289</v>
      </c>
      <c r="AK1353" s="26" t="s">
        <v>289</v>
      </c>
      <c r="AL1353" s="26" t="s">
        <v>230</v>
      </c>
      <c r="AP1353" s="26" t="s">
        <v>208</v>
      </c>
      <c r="AQ1353" s="26">
        <v>4</v>
      </c>
      <c r="AR1353" s="26">
        <v>4</v>
      </c>
      <c r="AS1353" s="26" t="s">
        <v>177</v>
      </c>
      <c r="AW1353" s="26" t="s">
        <v>1129</v>
      </c>
      <c r="AY1353" s="26">
        <v>9.5</v>
      </c>
      <c r="AZ1353" s="26">
        <v>8.4</v>
      </c>
      <c r="BA1353" s="26" t="s">
        <v>1148</v>
      </c>
      <c r="BE1353" s="26">
        <v>1.41</v>
      </c>
      <c r="BF1353" s="26">
        <v>1.37</v>
      </c>
      <c r="CF1353" s="26">
        <v>2.2400000000000002</v>
      </c>
      <c r="CG1353" s="26">
        <v>3.53</v>
      </c>
      <c r="CH1353" s="26" t="s">
        <v>1134</v>
      </c>
      <c r="CI1353" s="26">
        <v>46.87</v>
      </c>
      <c r="CJ1353" s="26">
        <v>50.6</v>
      </c>
      <c r="CK1353" s="26" t="s">
        <v>1132</v>
      </c>
      <c r="CL1353" s="26">
        <v>1.32</v>
      </c>
      <c r="CM1353" s="26">
        <v>1.41</v>
      </c>
      <c r="CN1353" s="26" t="s">
        <v>1147</v>
      </c>
      <c r="DD1353" s="26">
        <v>19.5</v>
      </c>
      <c r="DE1353" s="26">
        <v>17.600000000000001</v>
      </c>
      <c r="FA1353" s="26" t="s">
        <v>1145</v>
      </c>
      <c r="FC1353" s="26">
        <v>61</v>
      </c>
    </row>
    <row r="1354" spans="1:159" s="26" customFormat="1" x14ac:dyDescent="0.25">
      <c r="A1354" s="26">
        <v>61</v>
      </c>
      <c r="B1354" s="26" t="s">
        <v>1123</v>
      </c>
      <c r="C1354" s="26" t="s">
        <v>1124</v>
      </c>
      <c r="D1354" s="26">
        <v>2003</v>
      </c>
      <c r="E1354" s="26">
        <v>2001</v>
      </c>
      <c r="F1354" s="26" t="s">
        <v>1125</v>
      </c>
      <c r="G1354" s="26" t="s">
        <v>1126</v>
      </c>
      <c r="H1354" s="26">
        <v>38.74</v>
      </c>
      <c r="I1354" s="26">
        <v>-87.49</v>
      </c>
      <c r="J1354" s="26">
        <v>130</v>
      </c>
      <c r="M1354" s="26">
        <v>1272</v>
      </c>
      <c r="P1354" s="52" t="s">
        <v>180</v>
      </c>
      <c r="Q1354" s="52" t="s">
        <v>1057</v>
      </c>
      <c r="R1354" s="52" t="s">
        <v>1130</v>
      </c>
      <c r="S1354" s="52" t="s">
        <v>1647</v>
      </c>
      <c r="T1354" s="52" t="s">
        <v>1647</v>
      </c>
      <c r="U1354" s="26">
        <v>1.44</v>
      </c>
      <c r="X1354" s="26" t="s">
        <v>168</v>
      </c>
      <c r="AB1354" s="26" t="s">
        <v>1562</v>
      </c>
      <c r="AC1354" s="26" t="s">
        <v>1811</v>
      </c>
      <c r="AD1354" s="153" t="str">
        <f t="shared" si="262"/>
        <v>Winter_wheat</v>
      </c>
      <c r="AE1354" s="26" t="s">
        <v>205</v>
      </c>
      <c r="AG1354" s="26" t="s">
        <v>1146</v>
      </c>
      <c r="AH1354" s="26" t="s">
        <v>1146</v>
      </c>
      <c r="AI1354" s="26" t="s">
        <v>230</v>
      </c>
      <c r="AJ1354" s="26" t="s">
        <v>203</v>
      </c>
      <c r="AK1354" s="26" t="s">
        <v>203</v>
      </c>
      <c r="AL1354" s="26" t="s">
        <v>230</v>
      </c>
      <c r="AP1354" s="26" t="s">
        <v>208</v>
      </c>
      <c r="AQ1354" s="26">
        <v>4</v>
      </c>
      <c r="AR1354" s="26">
        <v>4</v>
      </c>
      <c r="AS1354" s="26" t="s">
        <v>177</v>
      </c>
      <c r="AW1354" s="26" t="s">
        <v>1128</v>
      </c>
      <c r="AY1354" s="26">
        <v>10.4</v>
      </c>
      <c r="AZ1354" s="26">
        <v>8.5</v>
      </c>
      <c r="BA1354" s="26" t="s">
        <v>1148</v>
      </c>
      <c r="BE1354" s="26">
        <v>1.49</v>
      </c>
      <c r="BF1354" s="26">
        <v>1.49</v>
      </c>
      <c r="CF1354" s="26">
        <v>2.21</v>
      </c>
      <c r="CG1354" s="26">
        <v>2.87</v>
      </c>
      <c r="CH1354" s="26" t="s">
        <v>1134</v>
      </c>
      <c r="CI1354" s="26">
        <v>42.81</v>
      </c>
      <c r="CJ1354" s="26">
        <v>41.5</v>
      </c>
      <c r="CK1354" s="26" t="s">
        <v>1132</v>
      </c>
      <c r="CL1354" s="26">
        <v>1.23</v>
      </c>
      <c r="CM1354" s="26">
        <v>1.1000000000000001</v>
      </c>
      <c r="CN1354" s="26" t="s">
        <v>1147</v>
      </c>
      <c r="DD1354" s="26">
        <v>17.899999999999999</v>
      </c>
      <c r="DE1354" s="26">
        <v>16.3</v>
      </c>
      <c r="FA1354" s="26" t="s">
        <v>1145</v>
      </c>
      <c r="FC1354" s="26">
        <v>61</v>
      </c>
    </row>
    <row r="1355" spans="1:159" s="26" customFormat="1" x14ac:dyDescent="0.25">
      <c r="A1355" s="26">
        <v>61</v>
      </c>
      <c r="B1355" s="26" t="s">
        <v>1123</v>
      </c>
      <c r="C1355" s="26" t="s">
        <v>1124</v>
      </c>
      <c r="D1355" s="26">
        <v>2003</v>
      </c>
      <c r="E1355" s="26">
        <v>2001</v>
      </c>
      <c r="F1355" s="26" t="s">
        <v>1125</v>
      </c>
      <c r="G1355" s="26" t="s">
        <v>1126</v>
      </c>
      <c r="H1355" s="26">
        <v>38.74</v>
      </c>
      <c r="I1355" s="26">
        <v>-87.49</v>
      </c>
      <c r="J1355" s="26">
        <v>130</v>
      </c>
      <c r="M1355" s="26">
        <v>1272</v>
      </c>
      <c r="P1355" s="52" t="s">
        <v>180</v>
      </c>
      <c r="Q1355" s="52" t="s">
        <v>1057</v>
      </c>
      <c r="R1355" s="52" t="s">
        <v>1130</v>
      </c>
      <c r="S1355" s="52" t="s">
        <v>1647</v>
      </c>
      <c r="T1355" s="52" t="s">
        <v>1647</v>
      </c>
      <c r="U1355" s="26">
        <v>1.44</v>
      </c>
      <c r="X1355" s="26" t="s">
        <v>168</v>
      </c>
      <c r="AB1355" s="26" t="s">
        <v>1562</v>
      </c>
      <c r="AC1355" s="26" t="s">
        <v>1811</v>
      </c>
      <c r="AD1355" s="153" t="str">
        <f t="shared" si="262"/>
        <v>Winter_wheat</v>
      </c>
      <c r="AE1355" s="26" t="s">
        <v>167</v>
      </c>
      <c r="AG1355" s="26" t="s">
        <v>1146</v>
      </c>
      <c r="AH1355" s="26" t="s">
        <v>1146</v>
      </c>
      <c r="AI1355" s="26" t="s">
        <v>230</v>
      </c>
      <c r="AJ1355" s="26" t="s">
        <v>203</v>
      </c>
      <c r="AK1355" s="26" t="s">
        <v>203</v>
      </c>
      <c r="AL1355" s="26" t="s">
        <v>230</v>
      </c>
      <c r="AP1355" s="26" t="s">
        <v>208</v>
      </c>
      <c r="AQ1355" s="26">
        <v>4</v>
      </c>
      <c r="AR1355" s="26">
        <v>4</v>
      </c>
      <c r="AS1355" s="26" t="s">
        <v>177</v>
      </c>
      <c r="AW1355" s="26" t="s">
        <v>1129</v>
      </c>
      <c r="AY1355" s="26">
        <v>10.4</v>
      </c>
      <c r="AZ1355" s="26">
        <v>10.199999999999999</v>
      </c>
      <c r="BA1355" s="26" t="s">
        <v>1148</v>
      </c>
      <c r="BE1355" s="26">
        <v>1.49</v>
      </c>
      <c r="BF1355" s="26">
        <v>1.46</v>
      </c>
      <c r="CF1355" s="26">
        <v>2.21</v>
      </c>
      <c r="CG1355" s="26">
        <v>3.17</v>
      </c>
      <c r="CH1355" s="26" t="s">
        <v>1134</v>
      </c>
      <c r="CI1355" s="26">
        <v>42.81</v>
      </c>
      <c r="CJ1355" s="26">
        <v>40.31</v>
      </c>
      <c r="CK1355" s="26" t="s">
        <v>1132</v>
      </c>
      <c r="CL1355" s="26">
        <v>1.23</v>
      </c>
      <c r="CM1355" s="26">
        <v>1.1299999999999999</v>
      </c>
      <c r="CN1355" s="26" t="s">
        <v>1147</v>
      </c>
      <c r="DD1355" s="26">
        <v>17.899999999999999</v>
      </c>
      <c r="DE1355" s="26">
        <v>15.5</v>
      </c>
      <c r="FA1355" s="26" t="s">
        <v>1145</v>
      </c>
      <c r="FC1355" s="26">
        <v>61</v>
      </c>
    </row>
    <row r="1356" spans="1:159" s="26" customFormat="1" x14ac:dyDescent="0.25">
      <c r="A1356" s="26">
        <v>61</v>
      </c>
      <c r="B1356" s="26" t="s">
        <v>1123</v>
      </c>
      <c r="C1356" s="26" t="s">
        <v>1124</v>
      </c>
      <c r="D1356" s="26">
        <v>2003</v>
      </c>
      <c r="E1356" s="26">
        <v>2001</v>
      </c>
      <c r="F1356" s="26" t="s">
        <v>1125</v>
      </c>
      <c r="G1356" s="26" t="s">
        <v>1126</v>
      </c>
      <c r="H1356" s="26">
        <v>38.74</v>
      </c>
      <c r="I1356" s="26">
        <v>-87.49</v>
      </c>
      <c r="J1356" s="26">
        <v>130</v>
      </c>
      <c r="M1356" s="26">
        <v>1272</v>
      </c>
      <c r="P1356" s="52" t="s">
        <v>180</v>
      </c>
      <c r="Q1356" s="52" t="s">
        <v>1057</v>
      </c>
      <c r="R1356" s="52" t="s">
        <v>1131</v>
      </c>
      <c r="S1356" s="52" t="s">
        <v>1647</v>
      </c>
      <c r="T1356" s="52" t="s">
        <v>1647</v>
      </c>
      <c r="U1356" s="26">
        <v>1.44</v>
      </c>
      <c r="X1356" s="26" t="s">
        <v>168</v>
      </c>
      <c r="AB1356" s="26" t="s">
        <v>1562</v>
      </c>
      <c r="AC1356" s="26" t="s">
        <v>1811</v>
      </c>
      <c r="AD1356" s="153" t="str">
        <f t="shared" si="262"/>
        <v>Winter_wheat</v>
      </c>
      <c r="AE1356" s="26" t="s">
        <v>205</v>
      </c>
      <c r="AG1356" s="26" t="s">
        <v>1146</v>
      </c>
      <c r="AH1356" s="26" t="s">
        <v>1146</v>
      </c>
      <c r="AI1356" s="26" t="s">
        <v>230</v>
      </c>
      <c r="AJ1356" s="26" t="s">
        <v>289</v>
      </c>
      <c r="AK1356" s="26" t="s">
        <v>289</v>
      </c>
      <c r="AL1356" s="26" t="s">
        <v>230</v>
      </c>
      <c r="AP1356" s="26" t="s">
        <v>208</v>
      </c>
      <c r="AQ1356" s="26">
        <v>4</v>
      </c>
      <c r="AR1356" s="26">
        <v>4</v>
      </c>
      <c r="AS1356" s="26" t="s">
        <v>177</v>
      </c>
      <c r="AU1356" s="26">
        <v>679</v>
      </c>
      <c r="AW1356" s="26" t="s">
        <v>1128</v>
      </c>
      <c r="AY1356" s="26">
        <v>13.6</v>
      </c>
      <c r="AZ1356" s="26">
        <v>14.7</v>
      </c>
      <c r="BA1356" s="26" t="s">
        <v>1148</v>
      </c>
      <c r="BE1356" s="26">
        <v>1.41</v>
      </c>
      <c r="BF1356" s="26">
        <v>1.32</v>
      </c>
      <c r="CF1356" s="26">
        <v>3.03</v>
      </c>
      <c r="CG1356" s="26">
        <v>3.29</v>
      </c>
      <c r="CH1356" s="26" t="s">
        <v>1134</v>
      </c>
      <c r="CI1356" s="26">
        <v>11.49</v>
      </c>
      <c r="CJ1356" s="26">
        <v>15.23</v>
      </c>
      <c r="CK1356" s="26" t="s">
        <v>1132</v>
      </c>
      <c r="CL1356" s="26">
        <v>1.43</v>
      </c>
      <c r="CM1356" s="26">
        <v>1.31</v>
      </c>
      <c r="CN1356" s="26" t="s">
        <v>1147</v>
      </c>
      <c r="CR1356" s="26">
        <v>42</v>
      </c>
      <c r="CS1356" s="26">
        <v>119.4</v>
      </c>
      <c r="DG1356" s="26">
        <f>21.2/1.42</f>
        <v>14.929577464788732</v>
      </c>
      <c r="DH1356" s="26">
        <f>23.9/1.42</f>
        <v>16.830985915492956</v>
      </c>
      <c r="DI1356" s="107" t="s">
        <v>1139</v>
      </c>
      <c r="FA1356" s="26" t="s">
        <v>1145</v>
      </c>
      <c r="FC1356" s="26">
        <v>61</v>
      </c>
    </row>
    <row r="1357" spans="1:159" s="26" customFormat="1" x14ac:dyDescent="0.25">
      <c r="A1357" s="26">
        <v>61</v>
      </c>
      <c r="B1357" s="26" t="s">
        <v>1123</v>
      </c>
      <c r="C1357" s="26" t="s">
        <v>1124</v>
      </c>
      <c r="D1357" s="26">
        <v>2003</v>
      </c>
      <c r="E1357" s="26">
        <v>2001</v>
      </c>
      <c r="F1357" s="26" t="s">
        <v>1125</v>
      </c>
      <c r="G1357" s="26" t="s">
        <v>1126</v>
      </c>
      <c r="H1357" s="26">
        <v>38.74</v>
      </c>
      <c r="I1357" s="26">
        <v>-87.49</v>
      </c>
      <c r="J1357" s="26">
        <v>130</v>
      </c>
      <c r="M1357" s="26">
        <v>1272</v>
      </c>
      <c r="P1357" s="52" t="s">
        <v>180</v>
      </c>
      <c r="Q1357" s="52" t="s">
        <v>1057</v>
      </c>
      <c r="R1357" s="52" t="s">
        <v>1131</v>
      </c>
      <c r="S1357" s="52" t="s">
        <v>1647</v>
      </c>
      <c r="T1357" s="52" t="s">
        <v>1647</v>
      </c>
      <c r="U1357" s="26">
        <v>1.44</v>
      </c>
      <c r="X1357" s="26" t="s">
        <v>168</v>
      </c>
      <c r="AB1357" s="26" t="s">
        <v>1562</v>
      </c>
      <c r="AC1357" s="26" t="s">
        <v>1811</v>
      </c>
      <c r="AD1357" s="153" t="str">
        <f t="shared" si="262"/>
        <v>Winter_wheat</v>
      </c>
      <c r="AE1357" s="26" t="s">
        <v>167</v>
      </c>
      <c r="AG1357" s="26" t="s">
        <v>1146</v>
      </c>
      <c r="AH1357" s="26" t="s">
        <v>1146</v>
      </c>
      <c r="AI1357" s="26" t="s">
        <v>230</v>
      </c>
      <c r="AJ1357" s="26" t="s">
        <v>289</v>
      </c>
      <c r="AK1357" s="26" t="s">
        <v>289</v>
      </c>
      <c r="AL1357" s="26" t="s">
        <v>230</v>
      </c>
      <c r="AP1357" s="26" t="s">
        <v>208</v>
      </c>
      <c r="AQ1357" s="26">
        <v>4</v>
      </c>
      <c r="AR1357" s="26">
        <v>4</v>
      </c>
      <c r="AS1357" s="26" t="s">
        <v>177</v>
      </c>
      <c r="AU1357" s="26">
        <v>1426</v>
      </c>
      <c r="AW1357" s="26" t="s">
        <v>1129</v>
      </c>
      <c r="AY1357" s="26">
        <v>13.6</v>
      </c>
      <c r="AZ1357" s="26">
        <v>12.9</v>
      </c>
      <c r="BA1357" s="26" t="s">
        <v>1148</v>
      </c>
      <c r="BE1357" s="26">
        <v>1.41</v>
      </c>
      <c r="BF1357" s="26">
        <v>1.31</v>
      </c>
      <c r="CF1357" s="26">
        <v>3.02</v>
      </c>
      <c r="CG1357" s="26">
        <v>3.41</v>
      </c>
      <c r="CH1357" s="26" t="s">
        <v>1134</v>
      </c>
      <c r="CI1357" s="26">
        <v>11.49</v>
      </c>
      <c r="CJ1357" s="26">
        <v>14.61</v>
      </c>
      <c r="CK1357" s="26" t="s">
        <v>1132</v>
      </c>
      <c r="CL1357" s="26">
        <v>1.43</v>
      </c>
      <c r="CM1357" s="26">
        <v>1.47</v>
      </c>
      <c r="CN1357" s="26" t="s">
        <v>1147</v>
      </c>
      <c r="CR1357" s="26">
        <v>42</v>
      </c>
      <c r="CS1357" s="26">
        <v>37.200000000000003</v>
      </c>
      <c r="DG1357" s="26">
        <f>21.2/1.42</f>
        <v>14.929577464788732</v>
      </c>
      <c r="DH1357" s="26">
        <f>22.3/1.42</f>
        <v>15.704225352112678</v>
      </c>
      <c r="DI1357" s="107" t="s">
        <v>1139</v>
      </c>
      <c r="FA1357" s="26" t="s">
        <v>1145</v>
      </c>
      <c r="FC1357" s="26">
        <v>61</v>
      </c>
    </row>
    <row r="1358" spans="1:159" s="26" customFormat="1" x14ac:dyDescent="0.25">
      <c r="A1358" s="26">
        <v>61</v>
      </c>
      <c r="B1358" s="26" t="s">
        <v>1123</v>
      </c>
      <c r="C1358" s="26" t="s">
        <v>1124</v>
      </c>
      <c r="D1358" s="26">
        <v>2003</v>
      </c>
      <c r="E1358" s="26">
        <v>2001</v>
      </c>
      <c r="F1358" s="26" t="s">
        <v>1125</v>
      </c>
      <c r="G1358" s="26" t="s">
        <v>1126</v>
      </c>
      <c r="H1358" s="26">
        <v>38.74</v>
      </c>
      <c r="I1358" s="26">
        <v>-87.49</v>
      </c>
      <c r="J1358" s="26">
        <v>130</v>
      </c>
      <c r="M1358" s="26">
        <v>1272</v>
      </c>
      <c r="P1358" s="52" t="s">
        <v>180</v>
      </c>
      <c r="Q1358" s="52" t="s">
        <v>1057</v>
      </c>
      <c r="R1358" s="52" t="s">
        <v>1131</v>
      </c>
      <c r="S1358" s="52" t="s">
        <v>1647</v>
      </c>
      <c r="T1358" s="52" t="s">
        <v>1647</v>
      </c>
      <c r="U1358" s="26">
        <v>1.44</v>
      </c>
      <c r="X1358" s="26" t="s">
        <v>168</v>
      </c>
      <c r="AB1358" s="26" t="s">
        <v>1562</v>
      </c>
      <c r="AC1358" s="26" t="s">
        <v>1811</v>
      </c>
      <c r="AD1358" s="153" t="str">
        <f t="shared" si="262"/>
        <v>Winter_wheat</v>
      </c>
      <c r="AE1358" s="26" t="s">
        <v>205</v>
      </c>
      <c r="AG1358" s="26" t="s">
        <v>1146</v>
      </c>
      <c r="AH1358" s="26" t="s">
        <v>1146</v>
      </c>
      <c r="AI1358" s="26" t="s">
        <v>230</v>
      </c>
      <c r="AJ1358" s="26" t="s">
        <v>203</v>
      </c>
      <c r="AK1358" s="26" t="s">
        <v>203</v>
      </c>
      <c r="AL1358" s="26" t="s">
        <v>230</v>
      </c>
      <c r="AP1358" s="26" t="s">
        <v>208</v>
      </c>
      <c r="AQ1358" s="26">
        <v>4</v>
      </c>
      <c r="AR1358" s="26">
        <v>4</v>
      </c>
      <c r="AS1358" s="26" t="s">
        <v>177</v>
      </c>
      <c r="AU1358" s="26">
        <v>418</v>
      </c>
      <c r="AW1358" s="26" t="s">
        <v>1128</v>
      </c>
      <c r="AY1358" s="26">
        <v>14.9</v>
      </c>
      <c r="AZ1358" s="26">
        <v>13.3</v>
      </c>
      <c r="BA1358" s="26" t="s">
        <v>1148</v>
      </c>
      <c r="BE1358" s="26">
        <v>1.52</v>
      </c>
      <c r="BF1358" s="26">
        <v>1.55</v>
      </c>
      <c r="CF1358" s="26">
        <v>2.57</v>
      </c>
      <c r="CG1358" s="26">
        <v>3.14</v>
      </c>
      <c r="CH1358" s="26" t="s">
        <v>1134</v>
      </c>
      <c r="CI1358" s="26">
        <v>7.79</v>
      </c>
      <c r="CJ1358" s="26">
        <v>5.93</v>
      </c>
      <c r="CK1358" s="26" t="s">
        <v>1132</v>
      </c>
      <c r="CL1358" s="26">
        <v>1.4</v>
      </c>
      <c r="CM1358" s="26">
        <v>1.34</v>
      </c>
      <c r="CN1358" s="26" t="s">
        <v>1147</v>
      </c>
      <c r="DG1358" s="26">
        <f>27.2/1.42</f>
        <v>19.154929577464788</v>
      </c>
      <c r="DH1358" s="26">
        <f>32.8/1.42</f>
        <v>23.098591549295772</v>
      </c>
      <c r="DI1358" s="107" t="s">
        <v>1139</v>
      </c>
      <c r="FA1358" s="26" t="s">
        <v>1145</v>
      </c>
      <c r="FC1358" s="26">
        <v>61</v>
      </c>
    </row>
    <row r="1359" spans="1:159" s="26" customFormat="1" x14ac:dyDescent="0.25">
      <c r="A1359" s="26">
        <v>61</v>
      </c>
      <c r="B1359" s="26" t="s">
        <v>1123</v>
      </c>
      <c r="C1359" s="26" t="s">
        <v>1124</v>
      </c>
      <c r="D1359" s="26">
        <v>2003</v>
      </c>
      <c r="E1359" s="26">
        <v>2001</v>
      </c>
      <c r="F1359" s="26" t="s">
        <v>1125</v>
      </c>
      <c r="G1359" s="26" t="s">
        <v>1126</v>
      </c>
      <c r="H1359" s="26">
        <v>38.74</v>
      </c>
      <c r="I1359" s="26">
        <v>-87.49</v>
      </c>
      <c r="J1359" s="26">
        <v>130</v>
      </c>
      <c r="M1359" s="26">
        <v>1272</v>
      </c>
      <c r="P1359" s="52" t="s">
        <v>180</v>
      </c>
      <c r="Q1359" s="52" t="s">
        <v>1057</v>
      </c>
      <c r="R1359" s="52" t="s">
        <v>1131</v>
      </c>
      <c r="S1359" s="52" t="s">
        <v>1647</v>
      </c>
      <c r="T1359" s="52" t="s">
        <v>1647</v>
      </c>
      <c r="U1359" s="26">
        <v>1.44</v>
      </c>
      <c r="X1359" s="26" t="s">
        <v>168</v>
      </c>
      <c r="AB1359" s="26" t="s">
        <v>1562</v>
      </c>
      <c r="AC1359" s="26" t="s">
        <v>1811</v>
      </c>
      <c r="AD1359" s="153" t="str">
        <f t="shared" si="262"/>
        <v>Winter_wheat</v>
      </c>
      <c r="AE1359" s="26" t="s">
        <v>167</v>
      </c>
      <c r="AG1359" s="26" t="s">
        <v>1146</v>
      </c>
      <c r="AH1359" s="26" t="s">
        <v>1146</v>
      </c>
      <c r="AI1359" s="26" t="s">
        <v>230</v>
      </c>
      <c r="AJ1359" s="26" t="s">
        <v>203</v>
      </c>
      <c r="AK1359" s="26" t="s">
        <v>203</v>
      </c>
      <c r="AL1359" s="26" t="s">
        <v>230</v>
      </c>
      <c r="AP1359" s="26" t="s">
        <v>208</v>
      </c>
      <c r="AQ1359" s="26">
        <v>4</v>
      </c>
      <c r="AR1359" s="26">
        <v>4</v>
      </c>
      <c r="AS1359" s="26" t="s">
        <v>177</v>
      </c>
      <c r="AU1359" s="26">
        <v>1048</v>
      </c>
      <c r="AW1359" s="26" t="s">
        <v>1129</v>
      </c>
      <c r="AY1359" s="26">
        <v>14.9</v>
      </c>
      <c r="AZ1359" s="26">
        <v>16.600000000000001</v>
      </c>
      <c r="BA1359" s="26" t="s">
        <v>1148</v>
      </c>
      <c r="BE1359" s="26">
        <v>1.52</v>
      </c>
      <c r="BF1359" s="26">
        <v>1.58</v>
      </c>
      <c r="CF1359" s="26">
        <v>2.57</v>
      </c>
      <c r="CG1359" s="26">
        <v>3.51</v>
      </c>
      <c r="CH1359" s="26" t="s">
        <v>1134</v>
      </c>
      <c r="CI1359" s="26">
        <v>7.79</v>
      </c>
      <c r="CJ1359" s="26">
        <v>4.62</v>
      </c>
      <c r="CK1359" s="26" t="s">
        <v>1132</v>
      </c>
      <c r="CL1359" s="26">
        <v>1.4</v>
      </c>
      <c r="CM1359" s="26">
        <v>1.4</v>
      </c>
      <c r="CN1359" s="26" t="s">
        <v>1147</v>
      </c>
      <c r="DG1359" s="26">
        <f>27.2/1.42</f>
        <v>19.154929577464788</v>
      </c>
      <c r="DH1359" s="26">
        <f>28.5/1.42</f>
        <v>20.070422535211268</v>
      </c>
      <c r="DI1359" s="107" t="s">
        <v>1139</v>
      </c>
      <c r="FA1359" s="26" t="s">
        <v>1145</v>
      </c>
      <c r="FC1359" s="26">
        <v>61</v>
      </c>
    </row>
    <row r="1360" spans="1:159" s="83" customFormat="1" x14ac:dyDescent="0.25">
      <c r="A1360" s="83">
        <v>61</v>
      </c>
      <c r="B1360" s="83" t="s">
        <v>1123</v>
      </c>
      <c r="C1360" s="83" t="s">
        <v>1124</v>
      </c>
      <c r="D1360" s="83">
        <v>2003</v>
      </c>
      <c r="E1360" s="83">
        <v>2001</v>
      </c>
      <c r="F1360" s="83" t="s">
        <v>1125</v>
      </c>
      <c r="G1360" s="83" t="s">
        <v>1127</v>
      </c>
      <c r="H1360" s="83">
        <v>40.299999999999997</v>
      </c>
      <c r="I1360" s="83">
        <v>-86.9</v>
      </c>
      <c r="J1360" s="83">
        <v>221</v>
      </c>
      <c r="M1360" s="26">
        <v>910</v>
      </c>
      <c r="P1360" s="84" t="s">
        <v>180</v>
      </c>
      <c r="Q1360" s="84" t="s">
        <v>1057</v>
      </c>
      <c r="R1360" s="84" t="s">
        <v>1130</v>
      </c>
      <c r="S1360" s="84" t="s">
        <v>1647</v>
      </c>
      <c r="T1360" s="84" t="s">
        <v>1647</v>
      </c>
      <c r="U1360" s="83">
        <v>1.42</v>
      </c>
      <c r="X1360" s="83" t="s">
        <v>168</v>
      </c>
      <c r="AB1360" s="83" t="s">
        <v>1562</v>
      </c>
      <c r="AC1360" s="83" t="s">
        <v>1811</v>
      </c>
      <c r="AD1360" s="153" t="str">
        <f t="shared" si="262"/>
        <v>Winter_wheat</v>
      </c>
      <c r="AE1360" s="83" t="s">
        <v>205</v>
      </c>
      <c r="AG1360" s="83" t="s">
        <v>1146</v>
      </c>
      <c r="AH1360" s="83" t="s">
        <v>1146</v>
      </c>
      <c r="AI1360" s="83" t="s">
        <v>230</v>
      </c>
      <c r="AJ1360" s="83" t="s">
        <v>289</v>
      </c>
      <c r="AK1360" s="83" t="s">
        <v>289</v>
      </c>
      <c r="AL1360" s="83" t="s">
        <v>230</v>
      </c>
      <c r="AP1360" s="83" t="s">
        <v>208</v>
      </c>
      <c r="AQ1360" s="83">
        <v>4</v>
      </c>
      <c r="AR1360" s="83">
        <v>4</v>
      </c>
      <c r="AS1360" s="83" t="s">
        <v>177</v>
      </c>
      <c r="AW1360" s="83" t="s">
        <v>1128</v>
      </c>
      <c r="AY1360" s="83">
        <v>17.5</v>
      </c>
      <c r="AZ1360" s="83">
        <v>24.7</v>
      </c>
      <c r="BA1360" s="83" t="s">
        <v>1148</v>
      </c>
      <c r="CI1360" s="83">
        <v>49.51</v>
      </c>
      <c r="CJ1360" s="83">
        <v>49.51</v>
      </c>
      <c r="CK1360" s="83" t="s">
        <v>1132</v>
      </c>
      <c r="CL1360" s="83">
        <v>1.43</v>
      </c>
      <c r="CM1360" s="83">
        <v>1.78</v>
      </c>
      <c r="CN1360" s="26" t="s">
        <v>1147</v>
      </c>
      <c r="CR1360" s="83">
        <v>81.599999999999994</v>
      </c>
      <c r="CS1360" s="83">
        <v>84.6</v>
      </c>
      <c r="DD1360" s="83">
        <v>23</v>
      </c>
      <c r="DE1360" s="83">
        <v>22.1</v>
      </c>
      <c r="DG1360" s="83">
        <f>13.9/1.42</f>
        <v>9.7887323943661979</v>
      </c>
      <c r="DH1360" s="83">
        <f>19.6/1.42</f>
        <v>13.802816901408452</v>
      </c>
      <c r="DI1360" s="107" t="s">
        <v>1140</v>
      </c>
      <c r="FA1360" s="83" t="s">
        <v>1145</v>
      </c>
      <c r="FC1360" s="83">
        <v>61</v>
      </c>
    </row>
    <row r="1361" spans="1:159" s="83" customFormat="1" x14ac:dyDescent="0.25">
      <c r="A1361" s="83">
        <v>61</v>
      </c>
      <c r="B1361" s="83" t="s">
        <v>1123</v>
      </c>
      <c r="C1361" s="83" t="s">
        <v>1124</v>
      </c>
      <c r="D1361" s="83">
        <v>2003</v>
      </c>
      <c r="E1361" s="83">
        <v>2001</v>
      </c>
      <c r="F1361" s="83" t="s">
        <v>1125</v>
      </c>
      <c r="G1361" s="83" t="s">
        <v>1127</v>
      </c>
      <c r="H1361" s="83">
        <v>40.299999999999997</v>
      </c>
      <c r="I1361" s="83">
        <v>-86.9</v>
      </c>
      <c r="J1361" s="83">
        <v>221</v>
      </c>
      <c r="M1361" s="26">
        <v>910</v>
      </c>
      <c r="P1361" s="84" t="s">
        <v>180</v>
      </c>
      <c r="Q1361" s="84" t="s">
        <v>1057</v>
      </c>
      <c r="R1361" s="84" t="s">
        <v>1130</v>
      </c>
      <c r="S1361" s="84" t="s">
        <v>1647</v>
      </c>
      <c r="T1361" s="84" t="s">
        <v>1647</v>
      </c>
      <c r="U1361" s="83">
        <v>1.42</v>
      </c>
      <c r="X1361" s="83" t="s">
        <v>168</v>
      </c>
      <c r="AB1361" s="83" t="s">
        <v>1562</v>
      </c>
      <c r="AC1361" s="83" t="s">
        <v>1811</v>
      </c>
      <c r="AD1361" s="153" t="str">
        <f t="shared" si="262"/>
        <v>Winter_wheat</v>
      </c>
      <c r="AE1361" s="83" t="s">
        <v>167</v>
      </c>
      <c r="AG1361" s="83" t="s">
        <v>1146</v>
      </c>
      <c r="AH1361" s="83" t="s">
        <v>1146</v>
      </c>
      <c r="AI1361" s="83" t="s">
        <v>230</v>
      </c>
      <c r="AJ1361" s="83" t="s">
        <v>289</v>
      </c>
      <c r="AK1361" s="83" t="s">
        <v>289</v>
      </c>
      <c r="AL1361" s="83" t="s">
        <v>230</v>
      </c>
      <c r="AP1361" s="83" t="s">
        <v>208</v>
      </c>
      <c r="AQ1361" s="83">
        <v>4</v>
      </c>
      <c r="AR1361" s="83">
        <v>4</v>
      </c>
      <c r="AS1361" s="83" t="s">
        <v>177</v>
      </c>
      <c r="AW1361" s="83" t="s">
        <v>1129</v>
      </c>
      <c r="AY1361" s="83">
        <v>17.5</v>
      </c>
      <c r="AZ1361" s="83">
        <v>15</v>
      </c>
      <c r="BA1361" s="83" t="s">
        <v>1148</v>
      </c>
      <c r="CI1361" s="83">
        <v>49.51</v>
      </c>
      <c r="CJ1361" s="83">
        <v>50.2</v>
      </c>
      <c r="CK1361" s="83" t="s">
        <v>1132</v>
      </c>
      <c r="CL1361" s="83">
        <v>1.43</v>
      </c>
      <c r="CM1361" s="83">
        <v>1.93</v>
      </c>
      <c r="CN1361" s="26" t="s">
        <v>1147</v>
      </c>
      <c r="CR1361" s="83">
        <v>81.599999999999994</v>
      </c>
      <c r="CS1361" s="83">
        <v>98.4</v>
      </c>
      <c r="DD1361" s="83">
        <v>23</v>
      </c>
      <c r="DE1361" s="83">
        <v>21.7</v>
      </c>
      <c r="DG1361" s="83">
        <f>13.9/1.42</f>
        <v>9.7887323943661979</v>
      </c>
      <c r="DH1361" s="83">
        <f>12.8/1.42</f>
        <v>9.0140845070422539</v>
      </c>
      <c r="DI1361" s="107" t="s">
        <v>1140</v>
      </c>
      <c r="FA1361" s="83" t="s">
        <v>1145</v>
      </c>
      <c r="FC1361" s="83">
        <v>61</v>
      </c>
    </row>
    <row r="1362" spans="1:159" s="83" customFormat="1" x14ac:dyDescent="0.25">
      <c r="A1362" s="83">
        <v>61</v>
      </c>
      <c r="B1362" s="83" t="s">
        <v>1123</v>
      </c>
      <c r="C1362" s="83" t="s">
        <v>1124</v>
      </c>
      <c r="D1362" s="83">
        <v>2003</v>
      </c>
      <c r="E1362" s="83">
        <v>2001</v>
      </c>
      <c r="F1362" s="83" t="s">
        <v>1125</v>
      </c>
      <c r="G1362" s="83" t="s">
        <v>1127</v>
      </c>
      <c r="H1362" s="83">
        <v>40.299999999999997</v>
      </c>
      <c r="I1362" s="83">
        <v>-86.9</v>
      </c>
      <c r="J1362" s="83">
        <v>221</v>
      </c>
      <c r="M1362" s="26">
        <v>910</v>
      </c>
      <c r="P1362" s="84" t="s">
        <v>180</v>
      </c>
      <c r="Q1362" s="84" t="s">
        <v>1057</v>
      </c>
      <c r="R1362" s="84" t="s">
        <v>1130</v>
      </c>
      <c r="S1362" s="84" t="s">
        <v>1647</v>
      </c>
      <c r="T1362" s="84" t="s">
        <v>1647</v>
      </c>
      <c r="U1362" s="83">
        <v>1.42</v>
      </c>
      <c r="X1362" s="83" t="s">
        <v>168</v>
      </c>
      <c r="AB1362" s="83" t="s">
        <v>1562</v>
      </c>
      <c r="AC1362" s="83" t="s">
        <v>1811</v>
      </c>
      <c r="AD1362" s="153" t="str">
        <f t="shared" si="262"/>
        <v>Winter_wheat</v>
      </c>
      <c r="AE1362" s="83" t="s">
        <v>205</v>
      </c>
      <c r="AG1362" s="83" t="s">
        <v>1146</v>
      </c>
      <c r="AH1362" s="83" t="s">
        <v>1146</v>
      </c>
      <c r="AI1362" s="83" t="s">
        <v>230</v>
      </c>
      <c r="AJ1362" s="83" t="s">
        <v>203</v>
      </c>
      <c r="AK1362" s="83" t="s">
        <v>203</v>
      </c>
      <c r="AL1362" s="83" t="s">
        <v>230</v>
      </c>
      <c r="AP1362" s="83" t="s">
        <v>208</v>
      </c>
      <c r="AQ1362" s="83">
        <v>4</v>
      </c>
      <c r="AR1362" s="83">
        <v>4</v>
      </c>
      <c r="AS1362" s="83" t="s">
        <v>177</v>
      </c>
      <c r="AW1362" s="83" t="s">
        <v>1128</v>
      </c>
      <c r="AY1362" s="83">
        <v>17.2</v>
      </c>
      <c r="AZ1362" s="83">
        <v>24.8</v>
      </c>
      <c r="BA1362" s="83" t="s">
        <v>1148</v>
      </c>
      <c r="CI1362" s="83">
        <v>40.6</v>
      </c>
      <c r="CJ1362" s="83">
        <v>43.77</v>
      </c>
      <c r="CK1362" s="83" t="s">
        <v>1132</v>
      </c>
      <c r="CL1362" s="83">
        <v>1.79</v>
      </c>
      <c r="CM1362" s="83">
        <v>2.14</v>
      </c>
      <c r="CN1362" s="26" t="s">
        <v>1147</v>
      </c>
      <c r="DD1362" s="83">
        <v>22.1</v>
      </c>
      <c r="DE1362" s="83">
        <v>21</v>
      </c>
      <c r="DG1362" s="83">
        <f>17.2/1.42</f>
        <v>12.112676056338028</v>
      </c>
      <c r="DH1362" s="83">
        <f>28.9/1.42</f>
        <v>20.35211267605634</v>
      </c>
      <c r="DI1362" s="107" t="s">
        <v>1140</v>
      </c>
      <c r="FA1362" s="83" t="s">
        <v>1145</v>
      </c>
      <c r="FC1362" s="83">
        <v>61</v>
      </c>
    </row>
    <row r="1363" spans="1:159" s="83" customFormat="1" x14ac:dyDescent="0.25">
      <c r="A1363" s="83">
        <v>61</v>
      </c>
      <c r="B1363" s="83" t="s">
        <v>1123</v>
      </c>
      <c r="C1363" s="83" t="s">
        <v>1124</v>
      </c>
      <c r="D1363" s="83">
        <v>2003</v>
      </c>
      <c r="E1363" s="83">
        <v>2001</v>
      </c>
      <c r="F1363" s="83" t="s">
        <v>1125</v>
      </c>
      <c r="G1363" s="83" t="s">
        <v>1127</v>
      </c>
      <c r="H1363" s="83">
        <v>40.299999999999997</v>
      </c>
      <c r="I1363" s="83">
        <v>-86.9</v>
      </c>
      <c r="J1363" s="83">
        <v>221</v>
      </c>
      <c r="M1363" s="26">
        <v>910</v>
      </c>
      <c r="P1363" s="84" t="s">
        <v>180</v>
      </c>
      <c r="Q1363" s="84" t="s">
        <v>1057</v>
      </c>
      <c r="R1363" s="84" t="s">
        <v>1130</v>
      </c>
      <c r="S1363" s="84" t="s">
        <v>1647</v>
      </c>
      <c r="T1363" s="84" t="s">
        <v>1647</v>
      </c>
      <c r="U1363" s="83">
        <v>1.42</v>
      </c>
      <c r="X1363" s="83" t="s">
        <v>168</v>
      </c>
      <c r="AB1363" s="83" t="s">
        <v>1562</v>
      </c>
      <c r="AC1363" s="83" t="s">
        <v>1811</v>
      </c>
      <c r="AD1363" s="153" t="str">
        <f t="shared" si="262"/>
        <v>Winter_wheat</v>
      </c>
      <c r="AE1363" s="83" t="s">
        <v>167</v>
      </c>
      <c r="AG1363" s="83" t="s">
        <v>1146</v>
      </c>
      <c r="AH1363" s="83" t="s">
        <v>1146</v>
      </c>
      <c r="AI1363" s="83" t="s">
        <v>230</v>
      </c>
      <c r="AJ1363" s="83" t="s">
        <v>203</v>
      </c>
      <c r="AK1363" s="83" t="s">
        <v>203</v>
      </c>
      <c r="AL1363" s="83" t="s">
        <v>230</v>
      </c>
      <c r="AP1363" s="83" t="s">
        <v>208</v>
      </c>
      <c r="AQ1363" s="83">
        <v>4</v>
      </c>
      <c r="AR1363" s="83">
        <v>4</v>
      </c>
      <c r="AS1363" s="83" t="s">
        <v>177</v>
      </c>
      <c r="AW1363" s="83" t="s">
        <v>1129</v>
      </c>
      <c r="AY1363" s="83">
        <v>17.2</v>
      </c>
      <c r="AZ1363" s="83">
        <v>17.399999999999999</v>
      </c>
      <c r="BA1363" s="83" t="s">
        <v>1148</v>
      </c>
      <c r="CI1363" s="83">
        <v>40.6</v>
      </c>
      <c r="CJ1363" s="83">
        <v>42.64</v>
      </c>
      <c r="CK1363" s="83" t="s">
        <v>1132</v>
      </c>
      <c r="CL1363" s="83">
        <v>1.79</v>
      </c>
      <c r="CM1363" s="83">
        <v>1.57</v>
      </c>
      <c r="CN1363" s="26" t="s">
        <v>1147</v>
      </c>
      <c r="DD1363" s="83">
        <v>22.1</v>
      </c>
      <c r="DE1363" s="83">
        <v>21</v>
      </c>
      <c r="DG1363" s="83">
        <f>17.2/1.43</f>
        <v>12.027972027972028</v>
      </c>
      <c r="DH1363" s="83">
        <f>17.9/1.42</f>
        <v>12.6056338028169</v>
      </c>
      <c r="DI1363" s="107" t="s">
        <v>1140</v>
      </c>
      <c r="FA1363" s="83" t="s">
        <v>1145</v>
      </c>
      <c r="FC1363" s="83">
        <v>61</v>
      </c>
    </row>
    <row r="1364" spans="1:159" s="83" customFormat="1" x14ac:dyDescent="0.25">
      <c r="A1364" s="83">
        <v>61</v>
      </c>
      <c r="B1364" s="83" t="s">
        <v>1123</v>
      </c>
      <c r="C1364" s="83" t="s">
        <v>1124</v>
      </c>
      <c r="D1364" s="83">
        <v>2003</v>
      </c>
      <c r="E1364" s="83">
        <v>2001</v>
      </c>
      <c r="F1364" s="83" t="s">
        <v>1125</v>
      </c>
      <c r="G1364" s="83" t="s">
        <v>1127</v>
      </c>
      <c r="H1364" s="83">
        <v>40.299999999999997</v>
      </c>
      <c r="I1364" s="83">
        <v>-86.9</v>
      </c>
      <c r="J1364" s="83">
        <v>221</v>
      </c>
      <c r="M1364" s="26">
        <v>910</v>
      </c>
      <c r="P1364" s="84" t="s">
        <v>180</v>
      </c>
      <c r="Q1364" s="84" t="s">
        <v>1057</v>
      </c>
      <c r="R1364" s="84" t="s">
        <v>1131</v>
      </c>
      <c r="S1364" s="84" t="s">
        <v>1647</v>
      </c>
      <c r="T1364" s="84" t="s">
        <v>1647</v>
      </c>
      <c r="U1364" s="83">
        <v>1.42</v>
      </c>
      <c r="X1364" s="83" t="s">
        <v>168</v>
      </c>
      <c r="AB1364" s="83" t="s">
        <v>1562</v>
      </c>
      <c r="AC1364" s="83" t="s">
        <v>1811</v>
      </c>
      <c r="AD1364" s="153" t="str">
        <f t="shared" si="262"/>
        <v>Winter_wheat</v>
      </c>
      <c r="AE1364" s="83" t="s">
        <v>205</v>
      </c>
      <c r="AG1364" s="83" t="s">
        <v>1146</v>
      </c>
      <c r="AH1364" s="83" t="s">
        <v>1146</v>
      </c>
      <c r="AI1364" s="83" t="s">
        <v>230</v>
      </c>
      <c r="AJ1364" s="83" t="s">
        <v>289</v>
      </c>
      <c r="AK1364" s="83" t="s">
        <v>289</v>
      </c>
      <c r="AL1364" s="83" t="s">
        <v>230</v>
      </c>
      <c r="AP1364" s="83" t="s">
        <v>208</v>
      </c>
      <c r="AQ1364" s="83">
        <v>4</v>
      </c>
      <c r="AR1364" s="83">
        <v>4</v>
      </c>
      <c r="AS1364" s="83" t="s">
        <v>177</v>
      </c>
      <c r="AU1364" s="83">
        <v>740</v>
      </c>
      <c r="AW1364" s="83" t="s">
        <v>1128</v>
      </c>
      <c r="AY1364" s="83">
        <v>24.2</v>
      </c>
      <c r="AZ1364" s="83">
        <v>32.299999999999997</v>
      </c>
      <c r="BA1364" s="83" t="s">
        <v>1148</v>
      </c>
      <c r="BE1364" s="83">
        <v>1.34</v>
      </c>
      <c r="BF1364" s="83">
        <v>1.34</v>
      </c>
      <c r="CI1364" s="83">
        <v>17.28</v>
      </c>
      <c r="CJ1364" s="83">
        <v>14.66</v>
      </c>
      <c r="CK1364" s="83" t="s">
        <v>1132</v>
      </c>
      <c r="CL1364" s="83">
        <v>1.83</v>
      </c>
      <c r="CM1364" s="83">
        <v>2.25</v>
      </c>
      <c r="CN1364" s="26" t="s">
        <v>1147</v>
      </c>
      <c r="CR1364" s="83">
        <v>72.599999999999994</v>
      </c>
      <c r="CS1364" s="83">
        <v>61.8</v>
      </c>
      <c r="DD1364" s="83">
        <v>29.9</v>
      </c>
      <c r="DE1364" s="83">
        <v>28.2</v>
      </c>
      <c r="DG1364" s="83">
        <f>24/1.42</f>
        <v>16.901408450704228</v>
      </c>
      <c r="DH1364" s="83">
        <f>24.4/1.42</f>
        <v>17.183098591549296</v>
      </c>
      <c r="DI1364" s="107" t="s">
        <v>1141</v>
      </c>
      <c r="FA1364" s="83" t="s">
        <v>1145</v>
      </c>
      <c r="FC1364" s="83">
        <v>61</v>
      </c>
    </row>
    <row r="1365" spans="1:159" s="83" customFormat="1" x14ac:dyDescent="0.25">
      <c r="A1365" s="83">
        <v>61</v>
      </c>
      <c r="B1365" s="83" t="s">
        <v>1123</v>
      </c>
      <c r="C1365" s="83" t="s">
        <v>1124</v>
      </c>
      <c r="D1365" s="83">
        <v>2003</v>
      </c>
      <c r="E1365" s="83">
        <v>2001</v>
      </c>
      <c r="F1365" s="83" t="s">
        <v>1125</v>
      </c>
      <c r="G1365" s="83" t="s">
        <v>1127</v>
      </c>
      <c r="H1365" s="83">
        <v>40.299999999999997</v>
      </c>
      <c r="I1365" s="83">
        <v>-86.9</v>
      </c>
      <c r="J1365" s="83">
        <v>221</v>
      </c>
      <c r="M1365" s="26">
        <v>910</v>
      </c>
      <c r="P1365" s="84" t="s">
        <v>180</v>
      </c>
      <c r="Q1365" s="84" t="s">
        <v>1057</v>
      </c>
      <c r="R1365" s="84" t="s">
        <v>1131</v>
      </c>
      <c r="S1365" s="84" t="s">
        <v>1647</v>
      </c>
      <c r="T1365" s="84" t="s">
        <v>1647</v>
      </c>
      <c r="U1365" s="83">
        <v>1.42</v>
      </c>
      <c r="X1365" s="83" t="s">
        <v>168</v>
      </c>
      <c r="AB1365" s="83" t="s">
        <v>1562</v>
      </c>
      <c r="AC1365" s="83" t="s">
        <v>1811</v>
      </c>
      <c r="AD1365" s="153" t="str">
        <f t="shared" si="262"/>
        <v>Winter_wheat</v>
      </c>
      <c r="AE1365" s="83" t="s">
        <v>167</v>
      </c>
      <c r="AG1365" s="83" t="s">
        <v>1146</v>
      </c>
      <c r="AH1365" s="83" t="s">
        <v>1146</v>
      </c>
      <c r="AI1365" s="83" t="s">
        <v>230</v>
      </c>
      <c r="AJ1365" s="83" t="s">
        <v>289</v>
      </c>
      <c r="AK1365" s="83" t="s">
        <v>289</v>
      </c>
      <c r="AL1365" s="83" t="s">
        <v>230</v>
      </c>
      <c r="AP1365" s="83" t="s">
        <v>208</v>
      </c>
      <c r="AQ1365" s="83">
        <v>4</v>
      </c>
      <c r="AR1365" s="83">
        <v>4</v>
      </c>
      <c r="AS1365" s="83" t="s">
        <v>177</v>
      </c>
      <c r="AU1365" s="83">
        <v>1624</v>
      </c>
      <c r="AW1365" s="83" t="s">
        <v>1129</v>
      </c>
      <c r="AY1365" s="83">
        <v>24.2</v>
      </c>
      <c r="AZ1365" s="83">
        <v>22</v>
      </c>
      <c r="BA1365" s="83" t="s">
        <v>1148</v>
      </c>
      <c r="BE1365" s="83">
        <v>1.34</v>
      </c>
      <c r="BF1365" s="83">
        <v>1.32</v>
      </c>
      <c r="CI1365" s="83">
        <v>17.28</v>
      </c>
      <c r="CJ1365" s="83">
        <v>12.91</v>
      </c>
      <c r="CK1365" s="83" t="s">
        <v>1132</v>
      </c>
      <c r="CL1365" s="83">
        <v>1.83</v>
      </c>
      <c r="CM1365" s="83">
        <v>2.8</v>
      </c>
      <c r="CN1365" s="26" t="s">
        <v>1147</v>
      </c>
      <c r="CR1365" s="83">
        <v>72.599999999999994</v>
      </c>
      <c r="CS1365" s="83">
        <v>71.400000000000006</v>
      </c>
      <c r="DD1365" s="83">
        <v>29.6</v>
      </c>
      <c r="DE1365" s="83">
        <v>28.2</v>
      </c>
      <c r="DG1365" s="83">
        <f>24/1.42</f>
        <v>16.901408450704228</v>
      </c>
      <c r="DH1365" s="83">
        <f>24/1.42</f>
        <v>16.901408450704228</v>
      </c>
      <c r="DI1365" s="107" t="s">
        <v>1141</v>
      </c>
      <c r="FA1365" s="83" t="s">
        <v>1145</v>
      </c>
      <c r="FC1365" s="83">
        <v>61</v>
      </c>
    </row>
    <row r="1366" spans="1:159" s="83" customFormat="1" x14ac:dyDescent="0.25">
      <c r="A1366" s="83">
        <v>61</v>
      </c>
      <c r="B1366" s="83" t="s">
        <v>1123</v>
      </c>
      <c r="C1366" s="83" t="s">
        <v>1124</v>
      </c>
      <c r="D1366" s="83">
        <v>2003</v>
      </c>
      <c r="E1366" s="83">
        <v>2001</v>
      </c>
      <c r="F1366" s="83" t="s">
        <v>1125</v>
      </c>
      <c r="G1366" s="83" t="s">
        <v>1127</v>
      </c>
      <c r="H1366" s="83">
        <v>40.299999999999997</v>
      </c>
      <c r="I1366" s="83">
        <v>-86.9</v>
      </c>
      <c r="J1366" s="83">
        <v>221</v>
      </c>
      <c r="M1366" s="26">
        <v>910</v>
      </c>
      <c r="P1366" s="84" t="s">
        <v>180</v>
      </c>
      <c r="Q1366" s="84" t="s">
        <v>1057</v>
      </c>
      <c r="R1366" s="84" t="s">
        <v>1131</v>
      </c>
      <c r="S1366" s="84" t="s">
        <v>1647</v>
      </c>
      <c r="T1366" s="84" t="s">
        <v>1647</v>
      </c>
      <c r="U1366" s="83">
        <v>1.42</v>
      </c>
      <c r="X1366" s="83" t="s">
        <v>168</v>
      </c>
      <c r="AB1366" s="83" t="s">
        <v>1562</v>
      </c>
      <c r="AC1366" s="83" t="s">
        <v>1811</v>
      </c>
      <c r="AD1366" s="153" t="str">
        <f t="shared" si="262"/>
        <v>Winter_wheat</v>
      </c>
      <c r="AE1366" s="83" t="s">
        <v>205</v>
      </c>
      <c r="AG1366" s="83" t="s">
        <v>1146</v>
      </c>
      <c r="AH1366" s="83" t="s">
        <v>1146</v>
      </c>
      <c r="AI1366" s="83" t="s">
        <v>230</v>
      </c>
      <c r="AJ1366" s="83" t="s">
        <v>203</v>
      </c>
      <c r="AK1366" s="83" t="s">
        <v>203</v>
      </c>
      <c r="AL1366" s="83" t="s">
        <v>230</v>
      </c>
      <c r="AP1366" s="83" t="s">
        <v>208</v>
      </c>
      <c r="AQ1366" s="83">
        <v>4</v>
      </c>
      <c r="AR1366" s="83">
        <v>4</v>
      </c>
      <c r="AS1366" s="83" t="s">
        <v>177</v>
      </c>
      <c r="AU1366" s="83">
        <v>413</v>
      </c>
      <c r="AW1366" s="83" t="s">
        <v>1128</v>
      </c>
      <c r="AY1366" s="83">
        <v>24.7</v>
      </c>
      <c r="AZ1366" s="83">
        <v>34.4</v>
      </c>
      <c r="BA1366" s="83" t="s">
        <v>1148</v>
      </c>
      <c r="BE1366" s="83">
        <v>1.57</v>
      </c>
      <c r="BF1366" s="83">
        <v>1.49</v>
      </c>
      <c r="CI1366" s="83">
        <v>5.5</v>
      </c>
      <c r="CJ1366" s="83">
        <v>6.06</v>
      </c>
      <c r="CK1366" s="83" t="s">
        <v>1132</v>
      </c>
      <c r="CL1366" s="83">
        <v>2</v>
      </c>
      <c r="CM1366" s="83">
        <v>2.2200000000000002</v>
      </c>
      <c r="CN1366" s="26" t="s">
        <v>1147</v>
      </c>
      <c r="DD1366" s="83">
        <v>28.6</v>
      </c>
      <c r="DE1366" s="83">
        <v>27.8</v>
      </c>
      <c r="DG1366" s="83">
        <f>29.9/1.42</f>
        <v>21.056338028169016</v>
      </c>
      <c r="DH1366" s="83">
        <f>30.7/1.42</f>
        <v>21.619718309859156</v>
      </c>
      <c r="DI1366" s="107" t="s">
        <v>1141</v>
      </c>
      <c r="FA1366" s="83" t="s">
        <v>1145</v>
      </c>
      <c r="FC1366" s="83">
        <v>61</v>
      </c>
    </row>
    <row r="1367" spans="1:159" s="83" customFormat="1" x14ac:dyDescent="0.25">
      <c r="A1367" s="83">
        <v>61</v>
      </c>
      <c r="B1367" s="83" t="s">
        <v>1123</v>
      </c>
      <c r="C1367" s="83" t="s">
        <v>1124</v>
      </c>
      <c r="D1367" s="83">
        <v>2003</v>
      </c>
      <c r="E1367" s="83">
        <v>2001</v>
      </c>
      <c r="F1367" s="83" t="s">
        <v>1125</v>
      </c>
      <c r="G1367" s="83" t="s">
        <v>1127</v>
      </c>
      <c r="H1367" s="83">
        <v>40.299999999999997</v>
      </c>
      <c r="I1367" s="83">
        <v>-86.9</v>
      </c>
      <c r="J1367" s="83">
        <v>221</v>
      </c>
      <c r="M1367" s="26">
        <v>910</v>
      </c>
      <c r="P1367" s="84" t="s">
        <v>180</v>
      </c>
      <c r="Q1367" s="84" t="s">
        <v>1057</v>
      </c>
      <c r="R1367" s="84" t="s">
        <v>1131</v>
      </c>
      <c r="S1367" s="84" t="s">
        <v>1647</v>
      </c>
      <c r="T1367" s="84" t="s">
        <v>1647</v>
      </c>
      <c r="U1367" s="83">
        <v>1.42</v>
      </c>
      <c r="X1367" s="83" t="s">
        <v>168</v>
      </c>
      <c r="AB1367" s="83" t="s">
        <v>1562</v>
      </c>
      <c r="AC1367" s="83" t="s">
        <v>1811</v>
      </c>
      <c r="AD1367" s="153" t="str">
        <f t="shared" si="262"/>
        <v>Winter_wheat</v>
      </c>
      <c r="AE1367" s="83" t="s">
        <v>167</v>
      </c>
      <c r="AG1367" s="83" t="s">
        <v>1146</v>
      </c>
      <c r="AH1367" s="83" t="s">
        <v>1146</v>
      </c>
      <c r="AI1367" s="83" t="s">
        <v>230</v>
      </c>
      <c r="AJ1367" s="83" t="s">
        <v>203</v>
      </c>
      <c r="AK1367" s="83" t="s">
        <v>203</v>
      </c>
      <c r="AL1367" s="83" t="s">
        <v>230</v>
      </c>
      <c r="AP1367" s="83" t="s">
        <v>208</v>
      </c>
      <c r="AQ1367" s="83">
        <v>4</v>
      </c>
      <c r="AR1367" s="83">
        <v>4</v>
      </c>
      <c r="AS1367" s="83" t="s">
        <v>177</v>
      </c>
      <c r="AU1367" s="83">
        <v>1509</v>
      </c>
      <c r="AW1367" s="83" t="s">
        <v>1129</v>
      </c>
      <c r="AY1367" s="83">
        <v>24.7</v>
      </c>
      <c r="AZ1367" s="83">
        <v>24.8</v>
      </c>
      <c r="BA1367" s="83" t="s">
        <v>1148</v>
      </c>
      <c r="BE1367" s="83">
        <v>1.57</v>
      </c>
      <c r="BF1367" s="83">
        <v>1.52</v>
      </c>
      <c r="CI1367" s="83">
        <v>5.5</v>
      </c>
      <c r="CJ1367" s="83">
        <v>5.55</v>
      </c>
      <c r="CK1367" s="83" t="s">
        <v>1132</v>
      </c>
      <c r="CL1367" s="83">
        <v>2</v>
      </c>
      <c r="CM1367" s="83">
        <v>1.72</v>
      </c>
      <c r="CN1367" s="26" t="s">
        <v>1147</v>
      </c>
      <c r="DD1367" s="83">
        <v>28.6</v>
      </c>
      <c r="DE1367" s="83">
        <v>28</v>
      </c>
      <c r="DG1367" s="83">
        <f>29.9/1.42</f>
        <v>21.056338028169016</v>
      </c>
      <c r="DH1367" s="83">
        <f>34.4/1.42</f>
        <v>24.225352112676056</v>
      </c>
      <c r="DI1367" s="107" t="s">
        <v>1141</v>
      </c>
      <c r="FA1367" s="83" t="s">
        <v>1145</v>
      </c>
      <c r="FC1367" s="83">
        <v>61</v>
      </c>
    </row>
    <row r="1368" spans="1:159" s="35" customFormat="1" x14ac:dyDescent="0.25">
      <c r="A1368" s="35">
        <v>61</v>
      </c>
      <c r="B1368" s="35" t="s">
        <v>1123</v>
      </c>
      <c r="C1368" s="35" t="s">
        <v>1124</v>
      </c>
      <c r="D1368" s="35">
        <v>2003</v>
      </c>
      <c r="E1368" s="35">
        <v>2002</v>
      </c>
      <c r="F1368" s="35" t="s">
        <v>1125</v>
      </c>
      <c r="G1368" s="35" t="s">
        <v>1126</v>
      </c>
      <c r="H1368" s="35">
        <v>38.74</v>
      </c>
      <c r="I1368" s="35">
        <v>-87.49</v>
      </c>
      <c r="J1368" s="35">
        <v>130</v>
      </c>
      <c r="M1368" s="35">
        <v>1420</v>
      </c>
      <c r="P1368" s="54" t="s">
        <v>181</v>
      </c>
      <c r="Q1368" s="54" t="s">
        <v>1057</v>
      </c>
      <c r="R1368" s="54" t="s">
        <v>1130</v>
      </c>
      <c r="S1368" s="54" t="s">
        <v>1647</v>
      </c>
      <c r="T1368" s="54" t="s">
        <v>1647</v>
      </c>
      <c r="U1368" s="35">
        <v>1.44</v>
      </c>
      <c r="X1368" s="35" t="s">
        <v>168</v>
      </c>
      <c r="AB1368" s="35" t="s">
        <v>1562</v>
      </c>
      <c r="AC1368" s="35" t="s">
        <v>1811</v>
      </c>
      <c r="AD1368" s="153" t="str">
        <f t="shared" si="262"/>
        <v>Winter_wheat</v>
      </c>
      <c r="AE1368" s="35" t="s">
        <v>205</v>
      </c>
      <c r="AG1368" s="35" t="s">
        <v>1146</v>
      </c>
      <c r="AH1368" s="35" t="s">
        <v>1146</v>
      </c>
      <c r="AI1368" s="35" t="s">
        <v>230</v>
      </c>
      <c r="AJ1368" s="35" t="s">
        <v>289</v>
      </c>
      <c r="AK1368" s="35" t="s">
        <v>289</v>
      </c>
      <c r="AL1368" s="35" t="s">
        <v>230</v>
      </c>
      <c r="AP1368" s="35" t="s">
        <v>208</v>
      </c>
      <c r="AQ1368" s="35">
        <v>4</v>
      </c>
      <c r="AR1368" s="35">
        <v>4</v>
      </c>
      <c r="AS1368" s="35" t="s">
        <v>177</v>
      </c>
      <c r="AW1368" s="35" t="s">
        <v>1128</v>
      </c>
      <c r="AY1368" s="35">
        <v>74.599999999999994</v>
      </c>
      <c r="AZ1368" s="35">
        <v>81.5</v>
      </c>
      <c r="BA1368" s="35" t="s">
        <v>1148</v>
      </c>
      <c r="BE1368" s="35">
        <v>1.42</v>
      </c>
      <c r="BF1368" s="35">
        <v>1.37</v>
      </c>
      <c r="CF1368" s="35">
        <v>2.8</v>
      </c>
      <c r="CG1368" s="35">
        <v>2.98</v>
      </c>
      <c r="CH1368" s="35" t="s">
        <v>1134</v>
      </c>
      <c r="CL1368" s="35">
        <v>1.36</v>
      </c>
      <c r="CM1368" s="35">
        <v>1.04</v>
      </c>
      <c r="CN1368" s="35" t="s">
        <v>1147</v>
      </c>
      <c r="DD1368" s="35">
        <v>13.1</v>
      </c>
      <c r="DE1368" s="35">
        <v>12.4</v>
      </c>
      <c r="DG1368" s="35">
        <f>32.9/1.42</f>
        <v>23.169014084507044</v>
      </c>
      <c r="DH1368" s="35">
        <f>33.6/1.42</f>
        <v>23.661971830985916</v>
      </c>
      <c r="DI1368" s="35" t="s">
        <v>1139</v>
      </c>
      <c r="FA1368" s="35" t="s">
        <v>1145</v>
      </c>
      <c r="FC1368" s="35">
        <v>61</v>
      </c>
    </row>
    <row r="1369" spans="1:159" s="35" customFormat="1" x14ac:dyDescent="0.25">
      <c r="A1369" s="35">
        <v>61</v>
      </c>
      <c r="B1369" s="35" t="s">
        <v>1123</v>
      </c>
      <c r="C1369" s="35" t="s">
        <v>1124</v>
      </c>
      <c r="D1369" s="35">
        <v>2003</v>
      </c>
      <c r="E1369" s="35">
        <v>2002</v>
      </c>
      <c r="F1369" s="35" t="s">
        <v>1125</v>
      </c>
      <c r="G1369" s="35" t="s">
        <v>1126</v>
      </c>
      <c r="H1369" s="35">
        <v>38.74</v>
      </c>
      <c r="I1369" s="35">
        <v>-87.49</v>
      </c>
      <c r="J1369" s="35">
        <v>130</v>
      </c>
      <c r="M1369" s="35">
        <v>1420</v>
      </c>
      <c r="P1369" s="54" t="s">
        <v>181</v>
      </c>
      <c r="Q1369" s="54" t="s">
        <v>1057</v>
      </c>
      <c r="R1369" s="54" t="s">
        <v>1130</v>
      </c>
      <c r="S1369" s="54" t="s">
        <v>1647</v>
      </c>
      <c r="T1369" s="54" t="s">
        <v>1647</v>
      </c>
      <c r="U1369" s="35">
        <v>1.44</v>
      </c>
      <c r="X1369" s="35" t="s">
        <v>168</v>
      </c>
      <c r="AB1369" s="35" t="s">
        <v>1562</v>
      </c>
      <c r="AC1369" s="35" t="s">
        <v>1811</v>
      </c>
      <c r="AD1369" s="153" t="str">
        <f t="shared" si="262"/>
        <v>Winter_wheat</v>
      </c>
      <c r="AE1369" s="35" t="s">
        <v>167</v>
      </c>
      <c r="AG1369" s="35" t="s">
        <v>1146</v>
      </c>
      <c r="AH1369" s="35" t="s">
        <v>1146</v>
      </c>
      <c r="AI1369" s="35" t="s">
        <v>230</v>
      </c>
      <c r="AJ1369" s="35" t="s">
        <v>289</v>
      </c>
      <c r="AK1369" s="35" t="s">
        <v>289</v>
      </c>
      <c r="AL1369" s="35" t="s">
        <v>230</v>
      </c>
      <c r="AP1369" s="35" t="s">
        <v>208</v>
      </c>
      <c r="AQ1369" s="35">
        <v>4</v>
      </c>
      <c r="AR1369" s="35">
        <v>4</v>
      </c>
      <c r="AS1369" s="35" t="s">
        <v>177</v>
      </c>
      <c r="AW1369" s="35" t="s">
        <v>1129</v>
      </c>
      <c r="AY1369" s="35">
        <v>74.599999999999994</v>
      </c>
      <c r="AZ1369" s="35">
        <v>76.599999999999994</v>
      </c>
      <c r="BA1369" s="35" t="s">
        <v>1148</v>
      </c>
      <c r="BE1369" s="35">
        <v>1.42</v>
      </c>
      <c r="BF1369" s="35">
        <v>1.35</v>
      </c>
      <c r="CF1369" s="35">
        <v>2.8</v>
      </c>
      <c r="CG1369" s="35">
        <v>3.41</v>
      </c>
      <c r="CH1369" s="35" t="s">
        <v>1134</v>
      </c>
      <c r="CL1369" s="35">
        <v>1.36</v>
      </c>
      <c r="CM1369" s="35">
        <v>1.31</v>
      </c>
      <c r="CN1369" s="35" t="s">
        <v>1147</v>
      </c>
      <c r="DD1369" s="35">
        <v>13.1</v>
      </c>
      <c r="DE1369" s="35">
        <v>12.2</v>
      </c>
      <c r="DG1369" s="35">
        <f>32.9/1.42</f>
        <v>23.169014084507044</v>
      </c>
      <c r="DH1369" s="35">
        <f>36.3/1.42</f>
        <v>25.56338028169014</v>
      </c>
      <c r="DI1369" s="35" t="s">
        <v>1139</v>
      </c>
      <c r="FA1369" s="35" t="s">
        <v>1145</v>
      </c>
      <c r="FC1369" s="35">
        <v>61</v>
      </c>
    </row>
    <row r="1370" spans="1:159" s="35" customFormat="1" x14ac:dyDescent="0.25">
      <c r="A1370" s="35">
        <v>61</v>
      </c>
      <c r="B1370" s="35" t="s">
        <v>1123</v>
      </c>
      <c r="C1370" s="35" t="s">
        <v>1124</v>
      </c>
      <c r="D1370" s="35">
        <v>2003</v>
      </c>
      <c r="E1370" s="35">
        <v>2002</v>
      </c>
      <c r="F1370" s="35" t="s">
        <v>1125</v>
      </c>
      <c r="G1370" s="35" t="s">
        <v>1126</v>
      </c>
      <c r="H1370" s="35">
        <v>38.74</v>
      </c>
      <c r="I1370" s="35">
        <v>-87.49</v>
      </c>
      <c r="J1370" s="35">
        <v>130</v>
      </c>
      <c r="M1370" s="35">
        <v>1420</v>
      </c>
      <c r="P1370" s="54" t="s">
        <v>181</v>
      </c>
      <c r="Q1370" s="54" t="s">
        <v>1057</v>
      </c>
      <c r="R1370" s="54" t="s">
        <v>1130</v>
      </c>
      <c r="S1370" s="54" t="s">
        <v>1647</v>
      </c>
      <c r="T1370" s="54" t="s">
        <v>1647</v>
      </c>
      <c r="U1370" s="35">
        <v>1.44</v>
      </c>
      <c r="X1370" s="35" t="s">
        <v>168</v>
      </c>
      <c r="AB1370" s="35" t="s">
        <v>1562</v>
      </c>
      <c r="AC1370" s="35" t="s">
        <v>1811</v>
      </c>
      <c r="AD1370" s="153" t="str">
        <f t="shared" si="262"/>
        <v>Winter_wheat</v>
      </c>
      <c r="AE1370" s="35" t="s">
        <v>205</v>
      </c>
      <c r="AG1370" s="35" t="s">
        <v>1146</v>
      </c>
      <c r="AH1370" s="35" t="s">
        <v>1146</v>
      </c>
      <c r="AI1370" s="35" t="s">
        <v>230</v>
      </c>
      <c r="AJ1370" s="35" t="s">
        <v>203</v>
      </c>
      <c r="AK1370" s="35" t="s">
        <v>203</v>
      </c>
      <c r="AL1370" s="35" t="s">
        <v>230</v>
      </c>
      <c r="AP1370" s="35" t="s">
        <v>208</v>
      </c>
      <c r="AQ1370" s="35">
        <v>4</v>
      </c>
      <c r="AR1370" s="35">
        <v>4</v>
      </c>
      <c r="AS1370" s="35" t="s">
        <v>177</v>
      </c>
      <c r="AW1370" s="35" t="s">
        <v>1128</v>
      </c>
      <c r="AY1370" s="35">
        <v>69.2</v>
      </c>
      <c r="AZ1370" s="35">
        <v>62.6</v>
      </c>
      <c r="BA1370" s="35" t="s">
        <v>1148</v>
      </c>
      <c r="BE1370" s="35">
        <v>1.51</v>
      </c>
      <c r="BF1370" s="35">
        <v>1.49</v>
      </c>
      <c r="CF1370" s="35">
        <v>3</v>
      </c>
      <c r="CG1370" s="35">
        <v>2.86</v>
      </c>
      <c r="CH1370" s="35" t="s">
        <v>1134</v>
      </c>
      <c r="CI1370" s="35">
        <v>39.57</v>
      </c>
      <c r="CJ1370" s="35">
        <v>41.08</v>
      </c>
      <c r="CK1370" s="35" t="s">
        <v>1132</v>
      </c>
      <c r="CL1370" s="35">
        <v>2.5099999999999998</v>
      </c>
      <c r="CM1370" s="35">
        <v>2.69</v>
      </c>
      <c r="CN1370" s="35" t="s">
        <v>1147</v>
      </c>
      <c r="DD1370" s="35">
        <v>12.9</v>
      </c>
      <c r="DE1370" s="35">
        <v>12.3</v>
      </c>
      <c r="DG1370" s="35">
        <f>32.2/1.42</f>
        <v>22.676056338028172</v>
      </c>
      <c r="DH1370" s="35">
        <f>33.3/1.42</f>
        <v>23.450704225352112</v>
      </c>
      <c r="DI1370" s="35" t="s">
        <v>1139</v>
      </c>
      <c r="FA1370" s="35" t="s">
        <v>1145</v>
      </c>
      <c r="FC1370" s="35">
        <v>61</v>
      </c>
    </row>
    <row r="1371" spans="1:159" s="35" customFormat="1" x14ac:dyDescent="0.25">
      <c r="A1371" s="35">
        <v>61</v>
      </c>
      <c r="B1371" s="35" t="s">
        <v>1123</v>
      </c>
      <c r="C1371" s="35" t="s">
        <v>1124</v>
      </c>
      <c r="D1371" s="35">
        <v>2003</v>
      </c>
      <c r="E1371" s="35">
        <v>2002</v>
      </c>
      <c r="F1371" s="35" t="s">
        <v>1125</v>
      </c>
      <c r="G1371" s="35" t="s">
        <v>1126</v>
      </c>
      <c r="H1371" s="35">
        <v>38.74</v>
      </c>
      <c r="I1371" s="35">
        <v>-87.49</v>
      </c>
      <c r="J1371" s="35">
        <v>130</v>
      </c>
      <c r="M1371" s="35">
        <v>1420</v>
      </c>
      <c r="P1371" s="54" t="s">
        <v>181</v>
      </c>
      <c r="Q1371" s="54" t="s">
        <v>1057</v>
      </c>
      <c r="R1371" s="54" t="s">
        <v>1130</v>
      </c>
      <c r="S1371" s="54" t="s">
        <v>1647</v>
      </c>
      <c r="T1371" s="54" t="s">
        <v>1647</v>
      </c>
      <c r="U1371" s="35">
        <v>1.44</v>
      </c>
      <c r="X1371" s="35" t="s">
        <v>168</v>
      </c>
      <c r="AB1371" s="35" t="s">
        <v>1562</v>
      </c>
      <c r="AC1371" s="35" t="s">
        <v>1811</v>
      </c>
      <c r="AD1371" s="153" t="str">
        <f t="shared" si="262"/>
        <v>Winter_wheat</v>
      </c>
      <c r="AE1371" s="35" t="s">
        <v>167</v>
      </c>
      <c r="AG1371" s="35" t="s">
        <v>1146</v>
      </c>
      <c r="AH1371" s="35" t="s">
        <v>1146</v>
      </c>
      <c r="AI1371" s="35" t="s">
        <v>230</v>
      </c>
      <c r="AJ1371" s="35" t="s">
        <v>203</v>
      </c>
      <c r="AK1371" s="35" t="s">
        <v>203</v>
      </c>
      <c r="AL1371" s="35" t="s">
        <v>230</v>
      </c>
      <c r="AP1371" s="35" t="s">
        <v>208</v>
      </c>
      <c r="AQ1371" s="35">
        <v>4</v>
      </c>
      <c r="AR1371" s="35">
        <v>4</v>
      </c>
      <c r="AS1371" s="35" t="s">
        <v>177</v>
      </c>
      <c r="AW1371" s="35" t="s">
        <v>1129</v>
      </c>
      <c r="AY1371" s="35">
        <v>69.2</v>
      </c>
      <c r="AZ1371" s="35">
        <v>68.099999999999994</v>
      </c>
      <c r="BA1371" s="35" t="s">
        <v>1148</v>
      </c>
      <c r="BE1371" s="35">
        <v>1.51</v>
      </c>
      <c r="BF1371" s="35">
        <v>1.46</v>
      </c>
      <c r="CF1371" s="35">
        <v>3</v>
      </c>
      <c r="CG1371" s="35">
        <v>3.22</v>
      </c>
      <c r="CH1371" s="35" t="s">
        <v>1134</v>
      </c>
      <c r="CI1371" s="35">
        <v>39.57</v>
      </c>
      <c r="CJ1371" s="35">
        <v>39.049999999999997</v>
      </c>
      <c r="CK1371" s="35" t="s">
        <v>1132</v>
      </c>
      <c r="CL1371" s="35">
        <v>2.5099999999999998</v>
      </c>
      <c r="CM1371" s="35">
        <v>2.4</v>
      </c>
      <c r="CN1371" s="35" t="s">
        <v>1147</v>
      </c>
      <c r="DD1371" s="35">
        <v>12.9</v>
      </c>
      <c r="DE1371" s="35">
        <v>12.3</v>
      </c>
      <c r="DG1371" s="35">
        <f>32.2/1.42</f>
        <v>22.676056338028172</v>
      </c>
      <c r="DH1371" s="35">
        <f>34.8/1.42</f>
        <v>24.507042253521124</v>
      </c>
      <c r="DI1371" s="35" t="s">
        <v>1139</v>
      </c>
      <c r="FA1371" s="35" t="s">
        <v>1145</v>
      </c>
      <c r="FC1371" s="35">
        <v>61</v>
      </c>
    </row>
    <row r="1372" spans="1:159" s="35" customFormat="1" x14ac:dyDescent="0.25">
      <c r="A1372" s="35">
        <v>61</v>
      </c>
      <c r="B1372" s="35" t="s">
        <v>1123</v>
      </c>
      <c r="C1372" s="35" t="s">
        <v>1124</v>
      </c>
      <c r="D1372" s="35">
        <v>2003</v>
      </c>
      <c r="E1372" s="35">
        <v>2002</v>
      </c>
      <c r="F1372" s="35" t="s">
        <v>1125</v>
      </c>
      <c r="G1372" s="35" t="s">
        <v>1126</v>
      </c>
      <c r="H1372" s="35">
        <v>38.74</v>
      </c>
      <c r="I1372" s="35">
        <v>-87.49</v>
      </c>
      <c r="J1372" s="35">
        <v>130</v>
      </c>
      <c r="M1372" s="35">
        <v>1420</v>
      </c>
      <c r="P1372" s="54" t="s">
        <v>181</v>
      </c>
      <c r="Q1372" s="54" t="s">
        <v>1057</v>
      </c>
      <c r="R1372" s="54" t="s">
        <v>1131</v>
      </c>
      <c r="S1372" s="54" t="s">
        <v>1647</v>
      </c>
      <c r="T1372" s="54" t="s">
        <v>1647</v>
      </c>
      <c r="U1372" s="35">
        <v>1.44</v>
      </c>
      <c r="X1372" s="35" t="s">
        <v>168</v>
      </c>
      <c r="AB1372" s="35" t="s">
        <v>1562</v>
      </c>
      <c r="AC1372" s="35" t="s">
        <v>1811</v>
      </c>
      <c r="AD1372" s="153" t="str">
        <f t="shared" si="262"/>
        <v>Winter_wheat</v>
      </c>
      <c r="AE1372" s="35" t="s">
        <v>205</v>
      </c>
      <c r="AG1372" s="35" t="s">
        <v>1146</v>
      </c>
      <c r="AH1372" s="35" t="s">
        <v>1146</v>
      </c>
      <c r="AI1372" s="35" t="s">
        <v>230</v>
      </c>
      <c r="AJ1372" s="35" t="s">
        <v>289</v>
      </c>
      <c r="AK1372" s="35" t="s">
        <v>289</v>
      </c>
      <c r="AL1372" s="35" t="s">
        <v>230</v>
      </c>
      <c r="AP1372" s="35" t="s">
        <v>208</v>
      </c>
      <c r="AQ1372" s="35">
        <v>4</v>
      </c>
      <c r="AR1372" s="35">
        <v>4</v>
      </c>
      <c r="AS1372" s="35" t="s">
        <v>177</v>
      </c>
      <c r="AU1372" s="35">
        <v>927</v>
      </c>
      <c r="AW1372" s="35" t="s">
        <v>1128</v>
      </c>
      <c r="AY1372" s="35">
        <v>46.7</v>
      </c>
      <c r="AZ1372" s="35">
        <v>50.6</v>
      </c>
      <c r="BA1372" s="35" t="s">
        <v>1148</v>
      </c>
      <c r="CF1372" s="35">
        <v>3.37</v>
      </c>
      <c r="CG1372" s="35">
        <v>3.21</v>
      </c>
      <c r="CH1372" s="35" t="s">
        <v>1134</v>
      </c>
      <c r="CL1372" s="35">
        <v>2.1</v>
      </c>
      <c r="CM1372" s="35">
        <v>1.95</v>
      </c>
      <c r="CN1372" s="35" t="s">
        <v>1147</v>
      </c>
      <c r="DD1372" s="35">
        <v>18.100000000000001</v>
      </c>
      <c r="DE1372" s="35">
        <v>17.2</v>
      </c>
      <c r="DG1372" s="35">
        <f>32.7/1.42</f>
        <v>23.028169014084511</v>
      </c>
      <c r="DH1372" s="35">
        <f>34.2/1.42</f>
        <v>24.084507042253524</v>
      </c>
      <c r="DI1372" s="35" t="s">
        <v>1142</v>
      </c>
      <c r="FA1372" s="35" t="s">
        <v>1145</v>
      </c>
      <c r="FC1372" s="35">
        <v>61</v>
      </c>
    </row>
    <row r="1373" spans="1:159" s="35" customFormat="1" x14ac:dyDescent="0.25">
      <c r="A1373" s="35">
        <v>61</v>
      </c>
      <c r="B1373" s="35" t="s">
        <v>1123</v>
      </c>
      <c r="C1373" s="35" t="s">
        <v>1124</v>
      </c>
      <c r="D1373" s="35">
        <v>2003</v>
      </c>
      <c r="E1373" s="35">
        <v>2002</v>
      </c>
      <c r="F1373" s="35" t="s">
        <v>1125</v>
      </c>
      <c r="G1373" s="35" t="s">
        <v>1126</v>
      </c>
      <c r="H1373" s="35">
        <v>38.74</v>
      </c>
      <c r="I1373" s="35">
        <v>-87.49</v>
      </c>
      <c r="J1373" s="35">
        <v>130</v>
      </c>
      <c r="M1373" s="35">
        <v>1420</v>
      </c>
      <c r="P1373" s="54" t="s">
        <v>181</v>
      </c>
      <c r="Q1373" s="54" t="s">
        <v>1057</v>
      </c>
      <c r="R1373" s="54" t="s">
        <v>1131</v>
      </c>
      <c r="S1373" s="54" t="s">
        <v>1647</v>
      </c>
      <c r="T1373" s="54" t="s">
        <v>1647</v>
      </c>
      <c r="U1373" s="35">
        <v>1.44</v>
      </c>
      <c r="X1373" s="35" t="s">
        <v>168</v>
      </c>
      <c r="AB1373" s="35" t="s">
        <v>1562</v>
      </c>
      <c r="AC1373" s="35" t="s">
        <v>1811</v>
      </c>
      <c r="AD1373" s="153" t="str">
        <f t="shared" si="262"/>
        <v>Winter_wheat</v>
      </c>
      <c r="AE1373" s="35" t="s">
        <v>167</v>
      </c>
      <c r="AG1373" s="35" t="s">
        <v>1146</v>
      </c>
      <c r="AH1373" s="35" t="s">
        <v>1146</v>
      </c>
      <c r="AI1373" s="35" t="s">
        <v>230</v>
      </c>
      <c r="AJ1373" s="35" t="s">
        <v>289</v>
      </c>
      <c r="AK1373" s="35" t="s">
        <v>289</v>
      </c>
      <c r="AL1373" s="35" t="s">
        <v>230</v>
      </c>
      <c r="AP1373" s="35" t="s">
        <v>208</v>
      </c>
      <c r="AQ1373" s="35">
        <v>4</v>
      </c>
      <c r="AR1373" s="35">
        <v>4</v>
      </c>
      <c r="AS1373" s="35" t="s">
        <v>177</v>
      </c>
      <c r="AU1373" s="35">
        <v>1515</v>
      </c>
      <c r="AW1373" s="35" t="s">
        <v>1129</v>
      </c>
      <c r="AY1373" s="35">
        <v>46.7</v>
      </c>
      <c r="AZ1373" s="35">
        <v>50.5</v>
      </c>
      <c r="BA1373" s="35" t="s">
        <v>1148</v>
      </c>
      <c r="CF1373" s="35">
        <v>3.37</v>
      </c>
      <c r="CG1373" s="35">
        <v>3.61</v>
      </c>
      <c r="CH1373" s="35" t="s">
        <v>1134</v>
      </c>
      <c r="CL1373" s="35">
        <v>2.1</v>
      </c>
      <c r="CM1373" s="35">
        <v>2.27</v>
      </c>
      <c r="CN1373" s="35" t="s">
        <v>1147</v>
      </c>
      <c r="DD1373" s="35">
        <v>18.100000000000001</v>
      </c>
      <c r="DE1373" s="35">
        <v>16</v>
      </c>
      <c r="DG1373" s="35">
        <f>32.7/1.42</f>
        <v>23.028169014084511</v>
      </c>
      <c r="DH1373" s="35">
        <f>36.6/1.42</f>
        <v>25.774647887323948</v>
      </c>
      <c r="DI1373" s="35" t="s">
        <v>1142</v>
      </c>
      <c r="FA1373" s="35" t="s">
        <v>1145</v>
      </c>
      <c r="FC1373" s="35">
        <v>61</v>
      </c>
    </row>
    <row r="1374" spans="1:159" s="35" customFormat="1" x14ac:dyDescent="0.25">
      <c r="A1374" s="35">
        <v>61</v>
      </c>
      <c r="B1374" s="35" t="s">
        <v>1123</v>
      </c>
      <c r="C1374" s="35" t="s">
        <v>1124</v>
      </c>
      <c r="D1374" s="35">
        <v>2003</v>
      </c>
      <c r="E1374" s="35">
        <v>2002</v>
      </c>
      <c r="F1374" s="35" t="s">
        <v>1125</v>
      </c>
      <c r="G1374" s="35" t="s">
        <v>1126</v>
      </c>
      <c r="H1374" s="35">
        <v>38.74</v>
      </c>
      <c r="I1374" s="35">
        <v>-87.49</v>
      </c>
      <c r="J1374" s="35">
        <v>130</v>
      </c>
      <c r="M1374" s="35">
        <v>1420</v>
      </c>
      <c r="P1374" s="54" t="s">
        <v>181</v>
      </c>
      <c r="Q1374" s="54" t="s">
        <v>1057</v>
      </c>
      <c r="R1374" s="54" t="s">
        <v>1131</v>
      </c>
      <c r="S1374" s="54" t="s">
        <v>1647</v>
      </c>
      <c r="T1374" s="54" t="s">
        <v>1647</v>
      </c>
      <c r="U1374" s="35">
        <v>1.44</v>
      </c>
      <c r="X1374" s="35" t="s">
        <v>168</v>
      </c>
      <c r="AB1374" s="35" t="s">
        <v>1562</v>
      </c>
      <c r="AC1374" s="35" t="s">
        <v>1811</v>
      </c>
      <c r="AD1374" s="153" t="str">
        <f t="shared" si="262"/>
        <v>Winter_wheat</v>
      </c>
      <c r="AE1374" s="35" t="s">
        <v>205</v>
      </c>
      <c r="AG1374" s="35" t="s">
        <v>1146</v>
      </c>
      <c r="AH1374" s="35" t="s">
        <v>1146</v>
      </c>
      <c r="AI1374" s="35" t="s">
        <v>230</v>
      </c>
      <c r="AJ1374" s="35" t="s">
        <v>203</v>
      </c>
      <c r="AK1374" s="35" t="s">
        <v>203</v>
      </c>
      <c r="AL1374" s="35" t="s">
        <v>230</v>
      </c>
      <c r="AP1374" s="35" t="s">
        <v>208</v>
      </c>
      <c r="AQ1374" s="35">
        <v>4</v>
      </c>
      <c r="AR1374" s="35">
        <v>4</v>
      </c>
      <c r="AS1374" s="35" t="s">
        <v>177</v>
      </c>
      <c r="AU1374" s="35">
        <v>1233</v>
      </c>
      <c r="AW1374" s="35" t="s">
        <v>1128</v>
      </c>
      <c r="AY1374" s="35">
        <v>47.5</v>
      </c>
      <c r="AZ1374" s="35">
        <v>52.8</v>
      </c>
      <c r="BA1374" s="35" t="s">
        <v>1148</v>
      </c>
      <c r="BE1374" s="35">
        <v>1.6</v>
      </c>
      <c r="BF1374" s="35">
        <v>1.56</v>
      </c>
      <c r="CF1374" s="35">
        <v>3.17</v>
      </c>
      <c r="CG1374" s="35">
        <v>3.15</v>
      </c>
      <c r="CH1374" s="35" t="s">
        <v>1134</v>
      </c>
      <c r="CI1374" s="35">
        <v>7.22</v>
      </c>
      <c r="CJ1374" s="35">
        <v>8.42</v>
      </c>
      <c r="CK1374" s="35" t="s">
        <v>1132</v>
      </c>
      <c r="CL1374" s="35">
        <v>2.66</v>
      </c>
      <c r="CM1374" s="35">
        <v>2.76</v>
      </c>
      <c r="CN1374" s="35" t="s">
        <v>1147</v>
      </c>
      <c r="DD1374" s="35">
        <v>18.100000000000001</v>
      </c>
      <c r="DE1374" s="35">
        <v>17</v>
      </c>
      <c r="DG1374" s="35">
        <f>30.3/1.42</f>
        <v>21.338028169014088</v>
      </c>
      <c r="DH1374" s="35">
        <f>32.1/1.42</f>
        <v>22.605633802816904</v>
      </c>
      <c r="DI1374" s="35" t="s">
        <v>1142</v>
      </c>
      <c r="FA1374" s="35" t="s">
        <v>1145</v>
      </c>
      <c r="FC1374" s="35">
        <v>61</v>
      </c>
    </row>
    <row r="1375" spans="1:159" s="35" customFormat="1" x14ac:dyDescent="0.25">
      <c r="A1375" s="35">
        <v>61</v>
      </c>
      <c r="B1375" s="35" t="s">
        <v>1123</v>
      </c>
      <c r="C1375" s="35" t="s">
        <v>1124</v>
      </c>
      <c r="D1375" s="35">
        <v>2003</v>
      </c>
      <c r="E1375" s="35">
        <v>2002</v>
      </c>
      <c r="F1375" s="35" t="s">
        <v>1125</v>
      </c>
      <c r="G1375" s="35" t="s">
        <v>1126</v>
      </c>
      <c r="H1375" s="35">
        <v>38.74</v>
      </c>
      <c r="I1375" s="35">
        <v>-87.49</v>
      </c>
      <c r="J1375" s="35">
        <v>130</v>
      </c>
      <c r="M1375" s="35">
        <v>1420</v>
      </c>
      <c r="P1375" s="54" t="s">
        <v>181</v>
      </c>
      <c r="Q1375" s="54" t="s">
        <v>1057</v>
      </c>
      <c r="R1375" s="54" t="s">
        <v>1131</v>
      </c>
      <c r="S1375" s="54" t="s">
        <v>1647</v>
      </c>
      <c r="T1375" s="54" t="s">
        <v>1647</v>
      </c>
      <c r="U1375" s="35">
        <v>1.44</v>
      </c>
      <c r="X1375" s="35" t="s">
        <v>168</v>
      </c>
      <c r="AB1375" s="35" t="s">
        <v>1562</v>
      </c>
      <c r="AC1375" s="35" t="s">
        <v>1811</v>
      </c>
      <c r="AD1375" s="153" t="str">
        <f t="shared" si="262"/>
        <v>Winter_wheat</v>
      </c>
      <c r="AE1375" s="35" t="s">
        <v>167</v>
      </c>
      <c r="AG1375" s="35" t="s">
        <v>1146</v>
      </c>
      <c r="AH1375" s="35" t="s">
        <v>1146</v>
      </c>
      <c r="AI1375" s="35" t="s">
        <v>230</v>
      </c>
      <c r="AJ1375" s="35" t="s">
        <v>203</v>
      </c>
      <c r="AK1375" s="35" t="s">
        <v>203</v>
      </c>
      <c r="AL1375" s="35" t="s">
        <v>230</v>
      </c>
      <c r="AP1375" s="35" t="s">
        <v>208</v>
      </c>
      <c r="AQ1375" s="35">
        <v>4</v>
      </c>
      <c r="AR1375" s="35">
        <v>4</v>
      </c>
      <c r="AS1375" s="35" t="s">
        <v>177</v>
      </c>
      <c r="AU1375" s="35">
        <v>1381</v>
      </c>
      <c r="AW1375" s="35" t="s">
        <v>1129</v>
      </c>
      <c r="AY1375" s="35">
        <v>47.5</v>
      </c>
      <c r="AZ1375" s="35">
        <v>56.8</v>
      </c>
      <c r="BA1375" s="35" t="s">
        <v>1148</v>
      </c>
      <c r="BE1375" s="35">
        <v>1.6</v>
      </c>
      <c r="BF1375" s="35">
        <v>1.6</v>
      </c>
      <c r="CF1375" s="35">
        <v>3.17</v>
      </c>
      <c r="CG1375" s="35">
        <v>3.29</v>
      </c>
      <c r="CH1375" s="35" t="s">
        <v>1134</v>
      </c>
      <c r="CI1375" s="35">
        <v>7.22</v>
      </c>
      <c r="CJ1375" s="35">
        <v>6.85</v>
      </c>
      <c r="CK1375" s="35" t="s">
        <v>1132</v>
      </c>
      <c r="CL1375" s="35">
        <v>2.66</v>
      </c>
      <c r="CM1375" s="35">
        <v>2.5499999999999998</v>
      </c>
      <c r="CN1375" s="35" t="s">
        <v>1147</v>
      </c>
      <c r="DD1375" s="35">
        <v>18.100000000000001</v>
      </c>
      <c r="DE1375" s="35">
        <v>16.2</v>
      </c>
      <c r="DG1375" s="35">
        <f>30.3/1.42</f>
        <v>21.338028169014088</v>
      </c>
      <c r="DH1375" s="35">
        <f>34.5/1.42</f>
        <v>24.295774647887324</v>
      </c>
      <c r="DI1375" s="35" t="s">
        <v>1142</v>
      </c>
      <c r="FA1375" s="35" t="s">
        <v>1145</v>
      </c>
      <c r="FC1375" s="35">
        <v>61</v>
      </c>
    </row>
    <row r="1376" spans="1:159" s="93" customFormat="1" x14ac:dyDescent="0.25">
      <c r="A1376" s="93">
        <v>61</v>
      </c>
      <c r="B1376" s="93" t="s">
        <v>1123</v>
      </c>
      <c r="C1376" s="93" t="s">
        <v>1124</v>
      </c>
      <c r="D1376" s="93">
        <v>2003</v>
      </c>
      <c r="E1376" s="93">
        <v>2002</v>
      </c>
      <c r="F1376" s="93" t="s">
        <v>1125</v>
      </c>
      <c r="G1376" s="93" t="s">
        <v>1127</v>
      </c>
      <c r="H1376" s="93">
        <v>40.299999999999997</v>
      </c>
      <c r="I1376" s="93">
        <v>-86.9</v>
      </c>
      <c r="J1376" s="93">
        <v>221</v>
      </c>
      <c r="M1376" s="35">
        <v>1118</v>
      </c>
      <c r="P1376" s="94" t="s">
        <v>181</v>
      </c>
      <c r="Q1376" s="94" t="s">
        <v>1057</v>
      </c>
      <c r="R1376" s="94" t="s">
        <v>1130</v>
      </c>
      <c r="S1376" s="94" t="s">
        <v>1647</v>
      </c>
      <c r="T1376" s="94" t="s">
        <v>1647</v>
      </c>
      <c r="U1376" s="93">
        <v>1.42</v>
      </c>
      <c r="X1376" s="93" t="s">
        <v>168</v>
      </c>
      <c r="AB1376" s="93" t="s">
        <v>1562</v>
      </c>
      <c r="AC1376" s="93" t="s">
        <v>1811</v>
      </c>
      <c r="AD1376" s="153" t="str">
        <f t="shared" si="262"/>
        <v>Winter_wheat</v>
      </c>
      <c r="AE1376" s="93" t="s">
        <v>205</v>
      </c>
      <c r="AG1376" s="93" t="s">
        <v>1146</v>
      </c>
      <c r="AH1376" s="93" t="s">
        <v>1146</v>
      </c>
      <c r="AI1376" s="93" t="s">
        <v>230</v>
      </c>
      <c r="AJ1376" s="93" t="s">
        <v>289</v>
      </c>
      <c r="AK1376" s="93" t="s">
        <v>289</v>
      </c>
      <c r="AL1376" s="93" t="s">
        <v>230</v>
      </c>
      <c r="AP1376" s="93" t="s">
        <v>208</v>
      </c>
      <c r="AQ1376" s="93">
        <v>4</v>
      </c>
      <c r="AR1376" s="93">
        <v>4</v>
      </c>
      <c r="AS1376" s="93" t="s">
        <v>177</v>
      </c>
      <c r="AW1376" s="93" t="s">
        <v>1128</v>
      </c>
      <c r="AY1376" s="93">
        <v>78.900000000000006</v>
      </c>
      <c r="AZ1376" s="93">
        <v>76.5</v>
      </c>
      <c r="BA1376" s="93" t="s">
        <v>1148</v>
      </c>
      <c r="BE1376" s="93">
        <v>1.38</v>
      </c>
      <c r="BF1376" s="93">
        <v>1.35</v>
      </c>
      <c r="CF1376" s="93">
        <v>1.9</v>
      </c>
      <c r="CG1376" s="93">
        <v>2.12</v>
      </c>
      <c r="CH1376" s="93" t="s">
        <v>1134</v>
      </c>
      <c r="CI1376" s="93">
        <v>43.26</v>
      </c>
      <c r="CJ1376" s="93">
        <v>43.03</v>
      </c>
      <c r="CK1376" s="93" t="s">
        <v>1132</v>
      </c>
      <c r="CL1376" s="93">
        <v>1.52</v>
      </c>
      <c r="CM1376" s="93">
        <v>1.52</v>
      </c>
      <c r="CN1376" s="93" t="s">
        <v>1147</v>
      </c>
      <c r="DD1376" s="93">
        <v>17.5</v>
      </c>
      <c r="DE1376" s="93">
        <v>17.600000000000001</v>
      </c>
      <c r="DG1376" s="93">
        <f>35.4/1.42</f>
        <v>24.929577464788732</v>
      </c>
      <c r="DH1376" s="93">
        <f>33/1.42</f>
        <v>23.239436619718312</v>
      </c>
      <c r="DI1376" s="93" t="s">
        <v>1143</v>
      </c>
      <c r="FA1376" s="93" t="s">
        <v>1145</v>
      </c>
      <c r="FC1376" s="93">
        <v>61</v>
      </c>
    </row>
    <row r="1377" spans="1:159" s="93" customFormat="1" x14ac:dyDescent="0.25">
      <c r="A1377" s="93">
        <v>61</v>
      </c>
      <c r="B1377" s="93" t="s">
        <v>1123</v>
      </c>
      <c r="C1377" s="93" t="s">
        <v>1124</v>
      </c>
      <c r="D1377" s="93">
        <v>2003</v>
      </c>
      <c r="E1377" s="93">
        <v>2002</v>
      </c>
      <c r="F1377" s="93" t="s">
        <v>1125</v>
      </c>
      <c r="G1377" s="93" t="s">
        <v>1127</v>
      </c>
      <c r="H1377" s="93">
        <v>40.299999999999997</v>
      </c>
      <c r="I1377" s="93">
        <v>-86.9</v>
      </c>
      <c r="J1377" s="93">
        <v>221</v>
      </c>
      <c r="M1377" s="35">
        <v>1118</v>
      </c>
      <c r="P1377" s="94" t="s">
        <v>181</v>
      </c>
      <c r="Q1377" s="94" t="s">
        <v>1057</v>
      </c>
      <c r="R1377" s="94" t="s">
        <v>1130</v>
      </c>
      <c r="S1377" s="94" t="s">
        <v>1647</v>
      </c>
      <c r="T1377" s="94" t="s">
        <v>1647</v>
      </c>
      <c r="U1377" s="93">
        <v>1.42</v>
      </c>
      <c r="X1377" s="93" t="s">
        <v>168</v>
      </c>
      <c r="AB1377" s="93" t="s">
        <v>1562</v>
      </c>
      <c r="AC1377" s="93" t="s">
        <v>1811</v>
      </c>
      <c r="AD1377" s="153" t="str">
        <f t="shared" si="262"/>
        <v>Winter_wheat</v>
      </c>
      <c r="AE1377" s="93" t="s">
        <v>167</v>
      </c>
      <c r="AG1377" s="93" t="s">
        <v>1146</v>
      </c>
      <c r="AH1377" s="93" t="s">
        <v>1146</v>
      </c>
      <c r="AI1377" s="93" t="s">
        <v>230</v>
      </c>
      <c r="AJ1377" s="93" t="s">
        <v>289</v>
      </c>
      <c r="AK1377" s="93" t="s">
        <v>289</v>
      </c>
      <c r="AL1377" s="93" t="s">
        <v>230</v>
      </c>
      <c r="AP1377" s="93" t="s">
        <v>208</v>
      </c>
      <c r="AQ1377" s="93">
        <v>4</v>
      </c>
      <c r="AR1377" s="93">
        <v>4</v>
      </c>
      <c r="AS1377" s="93" t="s">
        <v>177</v>
      </c>
      <c r="AW1377" s="93" t="s">
        <v>1129</v>
      </c>
      <c r="AY1377" s="93">
        <v>78.900000000000006</v>
      </c>
      <c r="AZ1377" s="93">
        <v>67.5</v>
      </c>
      <c r="BA1377" s="93" t="s">
        <v>1148</v>
      </c>
      <c r="BE1377" s="93">
        <v>1.38</v>
      </c>
      <c r="BF1377" s="93">
        <v>1.39</v>
      </c>
      <c r="CF1377" s="93">
        <v>1.9</v>
      </c>
      <c r="CG1377" s="93">
        <v>2.39</v>
      </c>
      <c r="CH1377" s="93" t="s">
        <v>1134</v>
      </c>
      <c r="CI1377" s="93">
        <v>43.26</v>
      </c>
      <c r="CJ1377" s="93">
        <v>46.55</v>
      </c>
      <c r="CK1377" s="93" t="s">
        <v>1132</v>
      </c>
      <c r="CL1377" s="93">
        <v>1.52</v>
      </c>
      <c r="CM1377" s="93">
        <v>1.29</v>
      </c>
      <c r="CN1377" s="93" t="s">
        <v>1147</v>
      </c>
      <c r="DD1377" s="93">
        <v>17.5</v>
      </c>
      <c r="DE1377" s="93">
        <v>17.100000000000001</v>
      </c>
      <c r="DG1377" s="93">
        <f>35.4/1.42</f>
        <v>24.929577464788732</v>
      </c>
      <c r="DH1377" s="93">
        <f>36.9/1.42</f>
        <v>25.985915492957748</v>
      </c>
      <c r="DI1377" s="93" t="s">
        <v>1143</v>
      </c>
      <c r="FA1377" s="93" t="s">
        <v>1145</v>
      </c>
      <c r="FC1377" s="93">
        <v>61</v>
      </c>
    </row>
    <row r="1378" spans="1:159" s="93" customFormat="1" x14ac:dyDescent="0.25">
      <c r="A1378" s="93">
        <v>61</v>
      </c>
      <c r="B1378" s="93" t="s">
        <v>1123</v>
      </c>
      <c r="C1378" s="93" t="s">
        <v>1124</v>
      </c>
      <c r="D1378" s="93">
        <v>2003</v>
      </c>
      <c r="E1378" s="93">
        <v>2002</v>
      </c>
      <c r="F1378" s="93" t="s">
        <v>1125</v>
      </c>
      <c r="G1378" s="93" t="s">
        <v>1127</v>
      </c>
      <c r="H1378" s="93">
        <v>40.299999999999997</v>
      </c>
      <c r="I1378" s="93">
        <v>-86.9</v>
      </c>
      <c r="J1378" s="93">
        <v>221</v>
      </c>
      <c r="M1378" s="35">
        <v>1118</v>
      </c>
      <c r="P1378" s="94" t="s">
        <v>181</v>
      </c>
      <c r="Q1378" s="94" t="s">
        <v>1057</v>
      </c>
      <c r="R1378" s="94" t="s">
        <v>1130</v>
      </c>
      <c r="S1378" s="94" t="s">
        <v>1647</v>
      </c>
      <c r="T1378" s="94" t="s">
        <v>1647</v>
      </c>
      <c r="U1378" s="93">
        <v>1.42</v>
      </c>
      <c r="X1378" s="93" t="s">
        <v>168</v>
      </c>
      <c r="AB1378" s="93" t="s">
        <v>1562</v>
      </c>
      <c r="AC1378" s="93" t="s">
        <v>1811</v>
      </c>
      <c r="AD1378" s="153" t="str">
        <f t="shared" si="262"/>
        <v>Winter_wheat</v>
      </c>
      <c r="AE1378" s="93" t="s">
        <v>205</v>
      </c>
      <c r="AG1378" s="93" t="s">
        <v>1146</v>
      </c>
      <c r="AH1378" s="93" t="s">
        <v>1146</v>
      </c>
      <c r="AI1378" s="93" t="s">
        <v>230</v>
      </c>
      <c r="AJ1378" s="93" t="s">
        <v>203</v>
      </c>
      <c r="AK1378" s="93" t="s">
        <v>203</v>
      </c>
      <c r="AL1378" s="93" t="s">
        <v>230</v>
      </c>
      <c r="AP1378" s="93" t="s">
        <v>208</v>
      </c>
      <c r="AQ1378" s="93">
        <v>4</v>
      </c>
      <c r="AR1378" s="93">
        <v>4</v>
      </c>
      <c r="AS1378" s="93" t="s">
        <v>177</v>
      </c>
      <c r="AW1378" s="93" t="s">
        <v>1128</v>
      </c>
      <c r="AY1378" s="93">
        <v>87</v>
      </c>
      <c r="AZ1378" s="93">
        <v>89.7</v>
      </c>
      <c r="BA1378" s="93" t="s">
        <v>1148</v>
      </c>
      <c r="BE1378" s="93">
        <v>1.52</v>
      </c>
      <c r="BF1378" s="93">
        <v>1.49</v>
      </c>
      <c r="CF1378" s="93">
        <v>1.63</v>
      </c>
      <c r="CG1378" s="93">
        <v>1.72</v>
      </c>
      <c r="CH1378" s="93" t="s">
        <v>1134</v>
      </c>
      <c r="CI1378" s="93">
        <v>38.43</v>
      </c>
      <c r="CJ1378" s="93">
        <v>39.76</v>
      </c>
      <c r="CK1378" s="93" t="s">
        <v>1132</v>
      </c>
      <c r="CL1378" s="93">
        <v>3.12</v>
      </c>
      <c r="CM1378" s="93">
        <v>2.86</v>
      </c>
      <c r="CN1378" s="93" t="s">
        <v>1147</v>
      </c>
      <c r="DD1378" s="93">
        <v>17.600000000000001</v>
      </c>
      <c r="DE1378" s="93">
        <v>16.600000000000001</v>
      </c>
      <c r="DG1378" s="93">
        <f>34.3/1.42</f>
        <v>24.154929577464788</v>
      </c>
      <c r="DH1378" s="93">
        <f>34.4/1.42</f>
        <v>24.225352112676056</v>
      </c>
      <c r="DI1378" s="93" t="s">
        <v>1143</v>
      </c>
      <c r="FA1378" s="93" t="s">
        <v>1145</v>
      </c>
      <c r="FC1378" s="93">
        <v>61</v>
      </c>
    </row>
    <row r="1379" spans="1:159" s="93" customFormat="1" x14ac:dyDescent="0.25">
      <c r="A1379" s="93">
        <v>61</v>
      </c>
      <c r="B1379" s="93" t="s">
        <v>1123</v>
      </c>
      <c r="C1379" s="93" t="s">
        <v>1124</v>
      </c>
      <c r="D1379" s="93">
        <v>2003</v>
      </c>
      <c r="E1379" s="93">
        <v>2002</v>
      </c>
      <c r="F1379" s="93" t="s">
        <v>1125</v>
      </c>
      <c r="G1379" s="93" t="s">
        <v>1127</v>
      </c>
      <c r="H1379" s="93">
        <v>40.299999999999997</v>
      </c>
      <c r="I1379" s="93">
        <v>-86.9</v>
      </c>
      <c r="J1379" s="93">
        <v>221</v>
      </c>
      <c r="M1379" s="35">
        <v>1118</v>
      </c>
      <c r="P1379" s="94" t="s">
        <v>181</v>
      </c>
      <c r="Q1379" s="94" t="s">
        <v>1057</v>
      </c>
      <c r="R1379" s="94" t="s">
        <v>1130</v>
      </c>
      <c r="S1379" s="94" t="s">
        <v>1647</v>
      </c>
      <c r="T1379" s="94" t="s">
        <v>1647</v>
      </c>
      <c r="U1379" s="93">
        <v>1.42</v>
      </c>
      <c r="X1379" s="93" t="s">
        <v>168</v>
      </c>
      <c r="AB1379" s="93" t="s">
        <v>1562</v>
      </c>
      <c r="AC1379" s="93" t="s">
        <v>1811</v>
      </c>
      <c r="AD1379" s="153" t="str">
        <f t="shared" si="262"/>
        <v>Winter_wheat</v>
      </c>
      <c r="AE1379" s="93" t="s">
        <v>167</v>
      </c>
      <c r="AG1379" s="93" t="s">
        <v>1146</v>
      </c>
      <c r="AH1379" s="93" t="s">
        <v>1146</v>
      </c>
      <c r="AI1379" s="93" t="s">
        <v>230</v>
      </c>
      <c r="AJ1379" s="93" t="s">
        <v>203</v>
      </c>
      <c r="AK1379" s="93" t="s">
        <v>203</v>
      </c>
      <c r="AL1379" s="93" t="s">
        <v>230</v>
      </c>
      <c r="AP1379" s="93" t="s">
        <v>208</v>
      </c>
      <c r="AQ1379" s="93">
        <v>4</v>
      </c>
      <c r="AR1379" s="93">
        <v>4</v>
      </c>
      <c r="AS1379" s="93" t="s">
        <v>177</v>
      </c>
      <c r="AW1379" s="93" t="s">
        <v>1129</v>
      </c>
      <c r="AY1379" s="93">
        <v>87</v>
      </c>
      <c r="AZ1379" s="93">
        <v>91.3</v>
      </c>
      <c r="BA1379" s="93" t="s">
        <v>1148</v>
      </c>
      <c r="BE1379" s="93">
        <v>1.52</v>
      </c>
      <c r="BF1379" s="93">
        <v>1.56</v>
      </c>
      <c r="CF1379" s="93">
        <v>1.63</v>
      </c>
      <c r="CG1379" s="93">
        <v>2.61</v>
      </c>
      <c r="CH1379" s="93" t="s">
        <v>1134</v>
      </c>
      <c r="CI1379" s="93">
        <v>38.43</v>
      </c>
      <c r="CJ1379" s="93">
        <v>39.090000000000003</v>
      </c>
      <c r="CK1379" s="93" t="s">
        <v>1132</v>
      </c>
      <c r="CL1379" s="93">
        <v>3.12</v>
      </c>
      <c r="CM1379" s="93">
        <v>2.36</v>
      </c>
      <c r="CN1379" s="93" t="s">
        <v>1147</v>
      </c>
      <c r="DD1379" s="93">
        <v>17.600000000000001</v>
      </c>
      <c r="DE1379" s="93">
        <v>15.7</v>
      </c>
      <c r="DG1379" s="93">
        <f>34.3/1.42</f>
        <v>24.154929577464788</v>
      </c>
      <c r="DH1379" s="93">
        <f>35.9/1.42</f>
        <v>25.281690140845072</v>
      </c>
      <c r="DI1379" s="93" t="s">
        <v>1143</v>
      </c>
      <c r="FA1379" s="93" t="s">
        <v>1145</v>
      </c>
      <c r="FC1379" s="93">
        <v>61</v>
      </c>
    </row>
    <row r="1380" spans="1:159" s="93" customFormat="1" x14ac:dyDescent="0.25">
      <c r="A1380" s="93">
        <v>61</v>
      </c>
      <c r="B1380" s="93" t="s">
        <v>1123</v>
      </c>
      <c r="C1380" s="93" t="s">
        <v>1124</v>
      </c>
      <c r="D1380" s="93">
        <v>2003</v>
      </c>
      <c r="E1380" s="93">
        <v>2002</v>
      </c>
      <c r="F1380" s="93" t="s">
        <v>1125</v>
      </c>
      <c r="G1380" s="93" t="s">
        <v>1127</v>
      </c>
      <c r="H1380" s="93">
        <v>40.299999999999997</v>
      </c>
      <c r="I1380" s="93">
        <v>-86.9</v>
      </c>
      <c r="J1380" s="93">
        <v>221</v>
      </c>
      <c r="M1380" s="35">
        <v>1118</v>
      </c>
      <c r="P1380" s="94" t="s">
        <v>181</v>
      </c>
      <c r="Q1380" s="94" t="s">
        <v>1057</v>
      </c>
      <c r="R1380" s="94" t="s">
        <v>1131</v>
      </c>
      <c r="S1380" s="94" t="s">
        <v>1647</v>
      </c>
      <c r="T1380" s="94" t="s">
        <v>1647</v>
      </c>
      <c r="U1380" s="93">
        <v>1.42</v>
      </c>
      <c r="X1380" s="93" t="s">
        <v>168</v>
      </c>
      <c r="AB1380" s="93" t="s">
        <v>1562</v>
      </c>
      <c r="AC1380" s="93" t="s">
        <v>1811</v>
      </c>
      <c r="AD1380" s="153" t="str">
        <f t="shared" si="262"/>
        <v>Winter_wheat</v>
      </c>
      <c r="AE1380" s="93" t="s">
        <v>205</v>
      </c>
      <c r="AG1380" s="93" t="s">
        <v>1146</v>
      </c>
      <c r="AH1380" s="93" t="s">
        <v>1146</v>
      </c>
      <c r="AI1380" s="93" t="s">
        <v>230</v>
      </c>
      <c r="AJ1380" s="93" t="s">
        <v>289</v>
      </c>
      <c r="AK1380" s="93" t="s">
        <v>289</v>
      </c>
      <c r="AL1380" s="93" t="s">
        <v>230</v>
      </c>
      <c r="AP1380" s="93" t="s">
        <v>208</v>
      </c>
      <c r="AQ1380" s="93">
        <v>4</v>
      </c>
      <c r="AR1380" s="93">
        <v>4</v>
      </c>
      <c r="AS1380" s="93" t="s">
        <v>177</v>
      </c>
      <c r="AU1380" s="93">
        <v>1543</v>
      </c>
      <c r="AW1380" s="93" t="s">
        <v>1128</v>
      </c>
      <c r="AY1380" s="93">
        <v>117.9</v>
      </c>
      <c r="AZ1380" s="93">
        <v>114.5</v>
      </c>
      <c r="BA1380" s="93" t="s">
        <v>1148</v>
      </c>
      <c r="BE1380" s="93">
        <v>1.5</v>
      </c>
      <c r="BF1380" s="93">
        <v>1.51</v>
      </c>
      <c r="CF1380" s="93">
        <v>2.74</v>
      </c>
      <c r="CG1380" s="93">
        <v>2.83</v>
      </c>
      <c r="CH1380" s="93" t="s">
        <v>1134</v>
      </c>
      <c r="CI1380" s="93">
        <v>13.76</v>
      </c>
      <c r="CJ1380" s="93">
        <v>14.1</v>
      </c>
      <c r="CK1380" s="93" t="s">
        <v>1132</v>
      </c>
      <c r="CL1380" s="93">
        <v>2.08</v>
      </c>
      <c r="CM1380" s="93">
        <v>2.19</v>
      </c>
      <c r="CN1380" s="93" t="s">
        <v>1147</v>
      </c>
      <c r="DD1380" s="93">
        <v>22.1</v>
      </c>
      <c r="DE1380" s="93">
        <v>21.3</v>
      </c>
      <c r="DG1380" s="93">
        <f>24.8/1.42</f>
        <v>17.464788732394368</v>
      </c>
      <c r="DH1380" s="93">
        <f>26.3/1.42</f>
        <v>18.52112676056338</v>
      </c>
      <c r="DI1380" s="93" t="s">
        <v>1144</v>
      </c>
      <c r="FA1380" s="93" t="s">
        <v>1145</v>
      </c>
      <c r="FC1380" s="93">
        <v>61</v>
      </c>
    </row>
    <row r="1381" spans="1:159" s="93" customFormat="1" x14ac:dyDescent="0.25">
      <c r="A1381" s="93">
        <v>61</v>
      </c>
      <c r="B1381" s="93" t="s">
        <v>1123</v>
      </c>
      <c r="C1381" s="93" t="s">
        <v>1124</v>
      </c>
      <c r="D1381" s="93">
        <v>2003</v>
      </c>
      <c r="E1381" s="93">
        <v>2002</v>
      </c>
      <c r="F1381" s="93" t="s">
        <v>1125</v>
      </c>
      <c r="G1381" s="93" t="s">
        <v>1127</v>
      </c>
      <c r="H1381" s="93">
        <v>40.299999999999997</v>
      </c>
      <c r="I1381" s="93">
        <v>-86.9</v>
      </c>
      <c r="J1381" s="93">
        <v>221</v>
      </c>
      <c r="M1381" s="35">
        <v>1118</v>
      </c>
      <c r="P1381" s="94" t="s">
        <v>181</v>
      </c>
      <c r="Q1381" s="94" t="s">
        <v>1057</v>
      </c>
      <c r="R1381" s="94" t="s">
        <v>1131</v>
      </c>
      <c r="S1381" s="94" t="s">
        <v>1647</v>
      </c>
      <c r="T1381" s="94" t="s">
        <v>1647</v>
      </c>
      <c r="U1381" s="93">
        <v>1.42</v>
      </c>
      <c r="X1381" s="93" t="s">
        <v>168</v>
      </c>
      <c r="AB1381" s="93" t="s">
        <v>1562</v>
      </c>
      <c r="AC1381" s="93" t="s">
        <v>1811</v>
      </c>
      <c r="AD1381" s="153" t="str">
        <f t="shared" si="262"/>
        <v>Winter_wheat</v>
      </c>
      <c r="AE1381" s="93" t="s">
        <v>167</v>
      </c>
      <c r="AG1381" s="93" t="s">
        <v>1146</v>
      </c>
      <c r="AH1381" s="93" t="s">
        <v>1146</v>
      </c>
      <c r="AI1381" s="93" t="s">
        <v>230</v>
      </c>
      <c r="AJ1381" s="93" t="s">
        <v>289</v>
      </c>
      <c r="AK1381" s="93" t="s">
        <v>289</v>
      </c>
      <c r="AL1381" s="93" t="s">
        <v>230</v>
      </c>
      <c r="AP1381" s="93" t="s">
        <v>208</v>
      </c>
      <c r="AQ1381" s="93">
        <v>4</v>
      </c>
      <c r="AR1381" s="93">
        <v>4</v>
      </c>
      <c r="AS1381" s="93" t="s">
        <v>177</v>
      </c>
      <c r="AU1381" s="93">
        <v>2513</v>
      </c>
      <c r="AW1381" s="93" t="s">
        <v>1129</v>
      </c>
      <c r="AY1381" s="93">
        <v>117.9</v>
      </c>
      <c r="AZ1381" s="93">
        <v>106.1</v>
      </c>
      <c r="BA1381" s="93" t="s">
        <v>1148</v>
      </c>
      <c r="BE1381" s="93">
        <v>1.5</v>
      </c>
      <c r="BF1381" s="93">
        <v>1.42</v>
      </c>
      <c r="CF1381" s="93">
        <v>2.74</v>
      </c>
      <c r="CG1381" s="93">
        <v>3.14</v>
      </c>
      <c r="CH1381" s="93" t="s">
        <v>1134</v>
      </c>
      <c r="CI1381" s="93">
        <v>13.76</v>
      </c>
      <c r="CJ1381" s="93">
        <v>17.18</v>
      </c>
      <c r="CK1381" s="93" t="s">
        <v>1132</v>
      </c>
      <c r="CL1381" s="93">
        <v>2.08</v>
      </c>
      <c r="CM1381" s="93">
        <v>2</v>
      </c>
      <c r="CN1381" s="93" t="s">
        <v>1147</v>
      </c>
      <c r="DD1381" s="93">
        <v>22.1</v>
      </c>
      <c r="DE1381" s="93">
        <v>18.899999999999999</v>
      </c>
      <c r="DG1381" s="93">
        <f>24.8/1.42</f>
        <v>17.464788732394368</v>
      </c>
      <c r="DH1381" s="93">
        <f>29/1.42</f>
        <v>20.422535211267608</v>
      </c>
      <c r="DI1381" s="93" t="s">
        <v>1144</v>
      </c>
      <c r="FA1381" s="93" t="s">
        <v>1145</v>
      </c>
      <c r="FC1381" s="93">
        <v>61</v>
      </c>
    </row>
    <row r="1382" spans="1:159" s="93" customFormat="1" x14ac:dyDescent="0.25">
      <c r="A1382" s="93">
        <v>61</v>
      </c>
      <c r="B1382" s="93" t="s">
        <v>1123</v>
      </c>
      <c r="C1382" s="93" t="s">
        <v>1124</v>
      </c>
      <c r="D1382" s="93">
        <v>2003</v>
      </c>
      <c r="E1382" s="93">
        <v>2002</v>
      </c>
      <c r="F1382" s="93" t="s">
        <v>1125</v>
      </c>
      <c r="G1382" s="93" t="s">
        <v>1127</v>
      </c>
      <c r="H1382" s="93">
        <v>40.299999999999997</v>
      </c>
      <c r="I1382" s="93">
        <v>-86.9</v>
      </c>
      <c r="J1382" s="93">
        <v>221</v>
      </c>
      <c r="M1382" s="35">
        <v>1118</v>
      </c>
      <c r="P1382" s="94" t="s">
        <v>181</v>
      </c>
      <c r="Q1382" s="94" t="s">
        <v>1057</v>
      </c>
      <c r="R1382" s="94" t="s">
        <v>1131</v>
      </c>
      <c r="S1382" s="94" t="s">
        <v>1647</v>
      </c>
      <c r="T1382" s="94" t="s">
        <v>1647</v>
      </c>
      <c r="U1382" s="93">
        <v>1.42</v>
      </c>
      <c r="X1382" s="93" t="s">
        <v>168</v>
      </c>
      <c r="AB1382" s="93" t="s">
        <v>1562</v>
      </c>
      <c r="AC1382" s="93" t="s">
        <v>1811</v>
      </c>
      <c r="AD1382" s="153" t="str">
        <f t="shared" si="262"/>
        <v>Winter_wheat</v>
      </c>
      <c r="AE1382" s="93" t="s">
        <v>205</v>
      </c>
      <c r="AG1382" s="93" t="s">
        <v>1146</v>
      </c>
      <c r="AH1382" s="93" t="s">
        <v>1146</v>
      </c>
      <c r="AI1382" s="93" t="s">
        <v>230</v>
      </c>
      <c r="AJ1382" s="93" t="s">
        <v>203</v>
      </c>
      <c r="AK1382" s="93" t="s">
        <v>203</v>
      </c>
      <c r="AL1382" s="93" t="s">
        <v>230</v>
      </c>
      <c r="AP1382" s="93" t="s">
        <v>208</v>
      </c>
      <c r="AQ1382" s="93">
        <v>4</v>
      </c>
      <c r="AR1382" s="93">
        <v>4</v>
      </c>
      <c r="AS1382" s="93" t="s">
        <v>177</v>
      </c>
      <c r="AU1382" s="93">
        <v>2096</v>
      </c>
      <c r="AW1382" s="93" t="s">
        <v>1128</v>
      </c>
      <c r="AY1382" s="93">
        <v>129.5</v>
      </c>
      <c r="AZ1382" s="93">
        <v>131.1</v>
      </c>
      <c r="BA1382" s="93" t="s">
        <v>1148</v>
      </c>
      <c r="BE1382" s="93">
        <v>1.63</v>
      </c>
      <c r="BF1382" s="93">
        <v>1.6</v>
      </c>
      <c r="CF1382" s="93">
        <v>3.15</v>
      </c>
      <c r="CG1382" s="93">
        <v>2.79</v>
      </c>
      <c r="CH1382" s="93" t="s">
        <v>1134</v>
      </c>
      <c r="CI1382" s="93">
        <v>9.2899999999999991</v>
      </c>
      <c r="CJ1382" s="93">
        <v>10.32</v>
      </c>
      <c r="CK1382" s="93" t="s">
        <v>1132</v>
      </c>
      <c r="CL1382" s="93">
        <v>2.91</v>
      </c>
      <c r="CM1382" s="93">
        <v>2.64</v>
      </c>
      <c r="CN1382" s="93" t="s">
        <v>1147</v>
      </c>
      <c r="DD1382" s="93">
        <v>22.1</v>
      </c>
      <c r="DE1382" s="93">
        <v>20.6</v>
      </c>
      <c r="DG1382" s="93">
        <f>23.5/1.42</f>
        <v>16.549295774647888</v>
      </c>
      <c r="DH1382" s="93">
        <f>24.5/1.42</f>
        <v>17.253521126760564</v>
      </c>
      <c r="DI1382" s="93" t="s">
        <v>1144</v>
      </c>
      <c r="FA1382" s="93" t="s">
        <v>1145</v>
      </c>
      <c r="FC1382" s="93">
        <v>61</v>
      </c>
    </row>
    <row r="1383" spans="1:159" s="93" customFormat="1" x14ac:dyDescent="0.25">
      <c r="A1383" s="93">
        <v>61</v>
      </c>
      <c r="B1383" s="93" t="s">
        <v>1123</v>
      </c>
      <c r="C1383" s="93" t="s">
        <v>1124</v>
      </c>
      <c r="D1383" s="93">
        <v>2003</v>
      </c>
      <c r="E1383" s="93">
        <v>2002</v>
      </c>
      <c r="F1383" s="93" t="s">
        <v>1125</v>
      </c>
      <c r="G1383" s="93" t="s">
        <v>1127</v>
      </c>
      <c r="H1383" s="93">
        <v>40.299999999999997</v>
      </c>
      <c r="I1383" s="93">
        <v>-86.9</v>
      </c>
      <c r="J1383" s="93">
        <v>221</v>
      </c>
      <c r="M1383" s="35">
        <v>1118</v>
      </c>
      <c r="P1383" s="94" t="s">
        <v>181</v>
      </c>
      <c r="Q1383" s="94" t="s">
        <v>1057</v>
      </c>
      <c r="R1383" s="94" t="s">
        <v>1131</v>
      </c>
      <c r="S1383" s="94" t="s">
        <v>1647</v>
      </c>
      <c r="T1383" s="94" t="s">
        <v>1647</v>
      </c>
      <c r="U1383" s="93">
        <v>1.42</v>
      </c>
      <c r="X1383" s="93" t="s">
        <v>168</v>
      </c>
      <c r="AB1383" s="93" t="s">
        <v>1562</v>
      </c>
      <c r="AC1383" s="93" t="s">
        <v>1811</v>
      </c>
      <c r="AD1383" s="153" t="str">
        <f t="shared" si="262"/>
        <v>Winter_wheat</v>
      </c>
      <c r="AE1383" s="93" t="s">
        <v>167</v>
      </c>
      <c r="AG1383" s="93" t="s">
        <v>1146</v>
      </c>
      <c r="AH1383" s="93" t="s">
        <v>1146</v>
      </c>
      <c r="AI1383" s="93" t="s">
        <v>230</v>
      </c>
      <c r="AJ1383" s="93" t="s">
        <v>203</v>
      </c>
      <c r="AK1383" s="93" t="s">
        <v>203</v>
      </c>
      <c r="AL1383" s="93" t="s">
        <v>230</v>
      </c>
      <c r="AP1383" s="93" t="s">
        <v>208</v>
      </c>
      <c r="AQ1383" s="93">
        <v>4</v>
      </c>
      <c r="AR1383" s="93">
        <v>4</v>
      </c>
      <c r="AS1383" s="93" t="s">
        <v>177</v>
      </c>
      <c r="AU1383" s="93">
        <v>2833</v>
      </c>
      <c r="AW1383" s="93" t="s">
        <v>1129</v>
      </c>
      <c r="AY1383" s="93">
        <v>129.5</v>
      </c>
      <c r="AZ1383" s="93">
        <v>134</v>
      </c>
      <c r="BA1383" s="93" t="s">
        <v>1148</v>
      </c>
      <c r="BE1383" s="93">
        <v>1.63</v>
      </c>
      <c r="BF1383" s="93">
        <v>1.61</v>
      </c>
      <c r="CF1383" s="93">
        <v>3.15</v>
      </c>
      <c r="CG1383" s="93">
        <v>3.09</v>
      </c>
      <c r="CH1383" s="93" t="s">
        <v>1134</v>
      </c>
      <c r="CI1383" s="93">
        <v>9.2899999999999991</v>
      </c>
      <c r="CJ1383" s="93">
        <v>8.94</v>
      </c>
      <c r="CK1383" s="93" t="s">
        <v>1132</v>
      </c>
      <c r="CL1383" s="93">
        <v>2.91</v>
      </c>
      <c r="CM1383" s="93">
        <v>2.36</v>
      </c>
      <c r="CN1383" s="93" t="s">
        <v>1147</v>
      </c>
      <c r="DD1383" s="93">
        <v>22.1</v>
      </c>
      <c r="DE1383" s="93">
        <v>19.399999999999999</v>
      </c>
      <c r="DG1383" s="93">
        <f>23.5/1.42</f>
        <v>16.549295774647888</v>
      </c>
      <c r="DH1383" s="93">
        <f>26.7/1.42</f>
        <v>18.802816901408452</v>
      </c>
      <c r="DI1383" s="93" t="s">
        <v>1144</v>
      </c>
      <c r="FA1383" s="93" t="s">
        <v>1145</v>
      </c>
      <c r="FC1383" s="93">
        <v>61</v>
      </c>
    </row>
    <row r="1384" spans="1:159" s="31" customFormat="1" x14ac:dyDescent="0.25">
      <c r="A1384" s="31">
        <v>62</v>
      </c>
      <c r="B1384" s="31" t="s">
        <v>1149</v>
      </c>
      <c r="C1384" s="31" t="s">
        <v>1150</v>
      </c>
      <c r="D1384" s="31">
        <v>2004</v>
      </c>
      <c r="E1384" s="31">
        <v>1998</v>
      </c>
      <c r="F1384" s="31" t="s">
        <v>1151</v>
      </c>
      <c r="G1384" s="31" t="s">
        <v>1152</v>
      </c>
      <c r="H1384" s="31">
        <v>44.24</v>
      </c>
      <c r="I1384" s="31">
        <v>-95.31</v>
      </c>
      <c r="J1384" s="31">
        <v>344.5</v>
      </c>
      <c r="N1384" s="31">
        <v>670</v>
      </c>
      <c r="P1384" s="56" t="s">
        <v>179</v>
      </c>
      <c r="Q1384" s="56" t="s">
        <v>1057</v>
      </c>
      <c r="R1384" s="56" t="s">
        <v>1155</v>
      </c>
      <c r="S1384" s="56" t="s">
        <v>1676</v>
      </c>
      <c r="T1384" s="56" t="s">
        <v>1682</v>
      </c>
      <c r="X1384" s="31" t="s">
        <v>809</v>
      </c>
      <c r="AB1384" s="31" t="s">
        <v>1585</v>
      </c>
      <c r="AC1384" s="31" t="s">
        <v>1847</v>
      </c>
      <c r="AD1384" s="153" t="str">
        <f t="shared" si="262"/>
        <v>Rye_Winter</v>
      </c>
      <c r="AE1384" s="31" t="s">
        <v>205</v>
      </c>
      <c r="AJ1384" s="31" t="s">
        <v>1154</v>
      </c>
      <c r="AK1384" s="31" t="s">
        <v>1154</v>
      </c>
      <c r="AL1384" s="31" t="s">
        <v>230</v>
      </c>
      <c r="AM1384" s="31" t="s">
        <v>1153</v>
      </c>
      <c r="AN1384" s="31" t="s">
        <v>1153</v>
      </c>
      <c r="AO1384" s="31" t="s">
        <v>230</v>
      </c>
      <c r="AP1384" s="31" t="s">
        <v>154</v>
      </c>
      <c r="AQ1384" s="31">
        <v>4</v>
      </c>
      <c r="AR1384" s="31">
        <v>4</v>
      </c>
      <c r="AS1384" s="31" t="s">
        <v>177</v>
      </c>
      <c r="AU1384" s="31">
        <v>1000</v>
      </c>
      <c r="AV1384" s="31">
        <f>100/2.7</f>
        <v>37.037037037037038</v>
      </c>
      <c r="DA1384" s="31">
        <v>82</v>
      </c>
      <c r="DB1384" s="31">
        <v>66</v>
      </c>
      <c r="DC1384" s="31" t="s">
        <v>1156</v>
      </c>
      <c r="FC1384" s="31">
        <v>62</v>
      </c>
    </row>
    <row r="1385" spans="1:159" s="31" customFormat="1" x14ac:dyDescent="0.25">
      <c r="A1385" s="31">
        <v>62</v>
      </c>
      <c r="B1385" s="31" t="s">
        <v>1149</v>
      </c>
      <c r="C1385" s="31" t="s">
        <v>1150</v>
      </c>
      <c r="D1385" s="31">
        <v>2004</v>
      </c>
      <c r="E1385" s="31">
        <v>1998</v>
      </c>
      <c r="F1385" s="31" t="s">
        <v>1151</v>
      </c>
      <c r="G1385" s="31" t="s">
        <v>1152</v>
      </c>
      <c r="H1385" s="31">
        <v>44.24</v>
      </c>
      <c r="I1385" s="31">
        <v>-95.31</v>
      </c>
      <c r="J1385" s="31">
        <v>344.5</v>
      </c>
      <c r="N1385" s="31">
        <v>670</v>
      </c>
      <c r="P1385" s="56" t="s">
        <v>179</v>
      </c>
      <c r="Q1385" s="56" t="s">
        <v>1057</v>
      </c>
      <c r="R1385" s="56" t="s">
        <v>1155</v>
      </c>
      <c r="S1385" s="56" t="s">
        <v>1676</v>
      </c>
      <c r="T1385" s="56" t="s">
        <v>1682</v>
      </c>
      <c r="X1385" s="31" t="s">
        <v>809</v>
      </c>
      <c r="AB1385" s="31" t="s">
        <v>1585</v>
      </c>
      <c r="AC1385" s="31" t="s">
        <v>1847</v>
      </c>
      <c r="AD1385" s="153" t="str">
        <f t="shared" si="262"/>
        <v>Rye_Winter</v>
      </c>
      <c r="AE1385" s="31" t="s">
        <v>167</v>
      </c>
      <c r="AJ1385" s="31" t="s">
        <v>1154</v>
      </c>
      <c r="AK1385" s="31" t="s">
        <v>1154</v>
      </c>
      <c r="AL1385" s="31" t="s">
        <v>230</v>
      </c>
      <c r="AM1385" s="31" t="s">
        <v>1153</v>
      </c>
      <c r="AN1385" s="31" t="s">
        <v>1153</v>
      </c>
      <c r="AO1385" s="31" t="s">
        <v>230</v>
      </c>
      <c r="AP1385" s="31" t="s">
        <v>154</v>
      </c>
      <c r="AQ1385" s="31">
        <v>4</v>
      </c>
      <c r="AR1385" s="31">
        <v>4</v>
      </c>
      <c r="AS1385" s="31" t="s">
        <v>177</v>
      </c>
      <c r="AU1385" s="31">
        <v>1000</v>
      </c>
      <c r="AV1385" s="31">
        <f>100/2.7</f>
        <v>37.037037037037038</v>
      </c>
      <c r="DA1385" s="31">
        <v>67</v>
      </c>
      <c r="DB1385" s="31">
        <v>69</v>
      </c>
      <c r="DC1385" s="31" t="s">
        <v>1156</v>
      </c>
      <c r="FC1385" s="31">
        <v>62</v>
      </c>
    </row>
    <row r="1386" spans="1:159" x14ac:dyDescent="0.25">
      <c r="A1386" s="46">
        <v>62</v>
      </c>
      <c r="B1386" s="46" t="s">
        <v>1149</v>
      </c>
      <c r="C1386" s="46" t="s">
        <v>1150</v>
      </c>
      <c r="D1386" s="46">
        <v>2004</v>
      </c>
      <c r="E1386" s="46">
        <v>1999</v>
      </c>
      <c r="F1386" s="46" t="s">
        <v>1151</v>
      </c>
      <c r="G1386" s="46" t="s">
        <v>1152</v>
      </c>
      <c r="H1386" s="46">
        <v>44.24</v>
      </c>
      <c r="I1386" s="46">
        <v>-95.31</v>
      </c>
      <c r="J1386" s="46">
        <v>344.5</v>
      </c>
      <c r="N1386" s="46">
        <v>670</v>
      </c>
      <c r="P1386" s="81" t="s">
        <v>180</v>
      </c>
      <c r="Q1386" s="81" t="s">
        <v>1057</v>
      </c>
      <c r="R1386" s="81" t="s">
        <v>1155</v>
      </c>
      <c r="S1386" s="81" t="s">
        <v>1676</v>
      </c>
      <c r="T1386" s="56" t="s">
        <v>1682</v>
      </c>
      <c r="X1386" s="46" t="s">
        <v>809</v>
      </c>
      <c r="AB1386" s="46" t="s">
        <v>1585</v>
      </c>
      <c r="AC1386" s="46" t="s">
        <v>1847</v>
      </c>
      <c r="AD1386" s="153" t="str">
        <f t="shared" si="262"/>
        <v>Rye_Winter</v>
      </c>
      <c r="AE1386" s="46" t="s">
        <v>205</v>
      </c>
      <c r="AJ1386" s="46" t="s">
        <v>1154</v>
      </c>
      <c r="AK1386" s="46" t="s">
        <v>1154</v>
      </c>
      <c r="AL1386" s="46" t="s">
        <v>230</v>
      </c>
      <c r="AM1386" s="46" t="s">
        <v>1153</v>
      </c>
      <c r="AN1386" s="46" t="s">
        <v>1153</v>
      </c>
      <c r="AO1386" s="46" t="s">
        <v>230</v>
      </c>
      <c r="AP1386" s="46" t="s">
        <v>154</v>
      </c>
      <c r="AQ1386" s="46">
        <v>4</v>
      </c>
      <c r="AR1386" s="46">
        <v>4</v>
      </c>
      <c r="AS1386" s="46" t="s">
        <v>177</v>
      </c>
      <c r="AU1386" s="46">
        <v>2700</v>
      </c>
      <c r="AV1386" s="46">
        <f>100/2.5</f>
        <v>40</v>
      </c>
      <c r="BB1386" s="46">
        <v>2700</v>
      </c>
      <c r="BC1386" s="46">
        <v>2700</v>
      </c>
      <c r="DA1386" s="46">
        <v>60</v>
      </c>
      <c r="DB1386" s="46">
        <v>53</v>
      </c>
      <c r="DC1386" s="46" t="s">
        <v>1156</v>
      </c>
      <c r="FC1386" s="46">
        <v>62</v>
      </c>
    </row>
    <row r="1387" spans="1:159" x14ac:dyDescent="0.25">
      <c r="A1387" s="46">
        <v>62</v>
      </c>
      <c r="B1387" s="46" t="s">
        <v>1149</v>
      </c>
      <c r="C1387" s="46" t="s">
        <v>1150</v>
      </c>
      <c r="D1387" s="46">
        <v>2004</v>
      </c>
      <c r="E1387" s="46">
        <v>1999</v>
      </c>
      <c r="F1387" s="46" t="s">
        <v>1151</v>
      </c>
      <c r="G1387" s="46" t="s">
        <v>1152</v>
      </c>
      <c r="H1387" s="46">
        <v>44.24</v>
      </c>
      <c r="I1387" s="46">
        <v>-95.31</v>
      </c>
      <c r="J1387" s="46">
        <v>344.5</v>
      </c>
      <c r="N1387" s="46">
        <v>670</v>
      </c>
      <c r="P1387" s="81" t="s">
        <v>180</v>
      </c>
      <c r="Q1387" s="81" t="s">
        <v>1057</v>
      </c>
      <c r="R1387" s="81" t="s">
        <v>1155</v>
      </c>
      <c r="S1387" s="81" t="s">
        <v>1676</v>
      </c>
      <c r="T1387" s="56" t="s">
        <v>1682</v>
      </c>
      <c r="X1387" s="46" t="s">
        <v>809</v>
      </c>
      <c r="AB1387" s="46" t="s">
        <v>1585</v>
      </c>
      <c r="AC1387" s="46" t="s">
        <v>1847</v>
      </c>
      <c r="AD1387" s="153" t="str">
        <f t="shared" si="262"/>
        <v>Rye_Winter</v>
      </c>
      <c r="AE1387" s="46" t="s">
        <v>167</v>
      </c>
      <c r="AJ1387" s="46" t="s">
        <v>1154</v>
      </c>
      <c r="AK1387" s="46" t="s">
        <v>1154</v>
      </c>
      <c r="AL1387" s="46" t="s">
        <v>230</v>
      </c>
      <c r="AM1387" s="46" t="s">
        <v>1153</v>
      </c>
      <c r="AN1387" s="46" t="s">
        <v>1153</v>
      </c>
      <c r="AO1387" s="46" t="s">
        <v>230</v>
      </c>
      <c r="AP1387" s="46" t="s">
        <v>154</v>
      </c>
      <c r="AQ1387" s="46">
        <v>4</v>
      </c>
      <c r="AR1387" s="46">
        <v>4</v>
      </c>
      <c r="AS1387" s="46" t="s">
        <v>177</v>
      </c>
      <c r="AU1387" s="46">
        <v>2700</v>
      </c>
      <c r="AV1387" s="46">
        <f>100/2.5</f>
        <v>40</v>
      </c>
      <c r="BB1387" s="46">
        <v>10000</v>
      </c>
      <c r="BC1387" s="46">
        <v>9600</v>
      </c>
      <c r="DA1387" s="46">
        <v>58</v>
      </c>
      <c r="DB1387" s="46">
        <v>40</v>
      </c>
      <c r="DC1387" s="46" t="s">
        <v>1156</v>
      </c>
      <c r="FC1387" s="46">
        <v>62</v>
      </c>
    </row>
    <row r="1388" spans="1:159" s="31" customFormat="1" x14ac:dyDescent="0.25">
      <c r="A1388" s="31">
        <v>62</v>
      </c>
      <c r="B1388" s="31" t="s">
        <v>1149</v>
      </c>
      <c r="C1388" s="31" t="s">
        <v>1150</v>
      </c>
      <c r="D1388" s="31">
        <v>2004</v>
      </c>
      <c r="E1388" s="31">
        <v>2000</v>
      </c>
      <c r="F1388" s="31" t="s">
        <v>1151</v>
      </c>
      <c r="G1388" s="31" t="s">
        <v>1152</v>
      </c>
      <c r="H1388" s="31">
        <v>44.24</v>
      </c>
      <c r="I1388" s="31">
        <v>-95.31</v>
      </c>
      <c r="J1388" s="31">
        <v>344.5</v>
      </c>
      <c r="N1388" s="31">
        <v>670</v>
      </c>
      <c r="P1388" s="56" t="s">
        <v>181</v>
      </c>
      <c r="Q1388" s="56" t="s">
        <v>1057</v>
      </c>
      <c r="R1388" s="56" t="s">
        <v>1155</v>
      </c>
      <c r="S1388" s="56" t="s">
        <v>1676</v>
      </c>
      <c r="T1388" s="56" t="s">
        <v>1682</v>
      </c>
      <c r="X1388" s="31" t="s">
        <v>809</v>
      </c>
      <c r="AB1388" s="31" t="s">
        <v>1585</v>
      </c>
      <c r="AC1388" s="31" t="s">
        <v>1847</v>
      </c>
      <c r="AD1388" s="153" t="str">
        <f t="shared" si="262"/>
        <v>Rye_Winter</v>
      </c>
      <c r="AE1388" s="31" t="s">
        <v>205</v>
      </c>
      <c r="AJ1388" s="31" t="s">
        <v>1154</v>
      </c>
      <c r="AK1388" s="31" t="s">
        <v>1154</v>
      </c>
      <c r="AL1388" s="31" t="s">
        <v>230</v>
      </c>
      <c r="AM1388" s="31" t="s">
        <v>1153</v>
      </c>
      <c r="AN1388" s="31" t="s">
        <v>1153</v>
      </c>
      <c r="AO1388" s="31" t="s">
        <v>230</v>
      </c>
      <c r="AP1388" s="31" t="s">
        <v>154</v>
      </c>
      <c r="AQ1388" s="31">
        <v>4</v>
      </c>
      <c r="AR1388" s="31">
        <v>4</v>
      </c>
      <c r="AS1388" s="31" t="s">
        <v>177</v>
      </c>
      <c r="AU1388" s="31">
        <v>1000</v>
      </c>
      <c r="AV1388" s="31">
        <f>100/2.7</f>
        <v>37.037037037037038</v>
      </c>
      <c r="BB1388" s="31">
        <v>3500</v>
      </c>
      <c r="BC1388" s="31">
        <v>3400</v>
      </c>
      <c r="DA1388" s="31">
        <v>108</v>
      </c>
      <c r="DB1388" s="31">
        <v>99</v>
      </c>
      <c r="DC1388" s="31" t="s">
        <v>1156</v>
      </c>
      <c r="FC1388" s="31">
        <v>62</v>
      </c>
    </row>
    <row r="1389" spans="1:159" s="31" customFormat="1" x14ac:dyDescent="0.25">
      <c r="A1389" s="31">
        <v>62</v>
      </c>
      <c r="B1389" s="31" t="s">
        <v>1149</v>
      </c>
      <c r="C1389" s="31" t="s">
        <v>1150</v>
      </c>
      <c r="D1389" s="31">
        <v>2004</v>
      </c>
      <c r="E1389" s="31">
        <v>2000</v>
      </c>
      <c r="F1389" s="31" t="s">
        <v>1151</v>
      </c>
      <c r="G1389" s="31" t="s">
        <v>1152</v>
      </c>
      <c r="H1389" s="31">
        <v>44.24</v>
      </c>
      <c r="I1389" s="31">
        <v>-95.31</v>
      </c>
      <c r="J1389" s="31">
        <v>344.5</v>
      </c>
      <c r="N1389" s="31">
        <v>670</v>
      </c>
      <c r="P1389" s="56" t="s">
        <v>181</v>
      </c>
      <c r="Q1389" s="56" t="s">
        <v>1057</v>
      </c>
      <c r="R1389" s="56" t="s">
        <v>1155</v>
      </c>
      <c r="S1389" s="56" t="s">
        <v>1676</v>
      </c>
      <c r="T1389" s="56" t="s">
        <v>1682</v>
      </c>
      <c r="X1389" s="31" t="s">
        <v>809</v>
      </c>
      <c r="AB1389" s="31" t="s">
        <v>1585</v>
      </c>
      <c r="AC1389" s="31" t="s">
        <v>1847</v>
      </c>
      <c r="AD1389" s="153" t="str">
        <f t="shared" si="262"/>
        <v>Rye_Winter</v>
      </c>
      <c r="AE1389" s="31" t="s">
        <v>167</v>
      </c>
      <c r="AJ1389" s="31" t="s">
        <v>1154</v>
      </c>
      <c r="AK1389" s="31" t="s">
        <v>1154</v>
      </c>
      <c r="AL1389" s="31" t="s">
        <v>230</v>
      </c>
      <c r="AM1389" s="31" t="s">
        <v>1153</v>
      </c>
      <c r="AN1389" s="31" t="s">
        <v>1153</v>
      </c>
      <c r="AO1389" s="31" t="s">
        <v>230</v>
      </c>
      <c r="AP1389" s="31" t="s">
        <v>154</v>
      </c>
      <c r="AQ1389" s="31">
        <v>4</v>
      </c>
      <c r="AR1389" s="31">
        <v>4</v>
      </c>
      <c r="AS1389" s="31" t="s">
        <v>177</v>
      </c>
      <c r="AU1389" s="31">
        <v>1000</v>
      </c>
      <c r="AV1389" s="31">
        <f>100/2.7</f>
        <v>37.037037037037038</v>
      </c>
      <c r="BB1389" s="31">
        <v>9800</v>
      </c>
      <c r="BC1389" s="31">
        <v>9700</v>
      </c>
      <c r="DA1389" s="31">
        <v>91</v>
      </c>
      <c r="DB1389" s="31">
        <v>102</v>
      </c>
      <c r="DC1389" s="31" t="s">
        <v>1156</v>
      </c>
      <c r="FC1389" s="31">
        <v>62</v>
      </c>
    </row>
    <row r="1390" spans="1:159" x14ac:dyDescent="0.25">
      <c r="A1390" s="46">
        <v>62</v>
      </c>
      <c r="B1390" s="46" t="s">
        <v>1149</v>
      </c>
      <c r="C1390" s="46" t="s">
        <v>1150</v>
      </c>
      <c r="D1390" s="46">
        <v>2004</v>
      </c>
      <c r="E1390" s="46">
        <v>2001</v>
      </c>
      <c r="F1390" s="46" t="s">
        <v>1151</v>
      </c>
      <c r="G1390" s="46" t="s">
        <v>1152</v>
      </c>
      <c r="H1390" s="46">
        <v>44.24</v>
      </c>
      <c r="I1390" s="46">
        <v>-95.31</v>
      </c>
      <c r="J1390" s="46">
        <v>344.5</v>
      </c>
      <c r="N1390" s="46">
        <v>670</v>
      </c>
      <c r="P1390" s="81" t="s">
        <v>182</v>
      </c>
      <c r="Q1390" s="81" t="s">
        <v>1057</v>
      </c>
      <c r="R1390" s="81" t="s">
        <v>1155</v>
      </c>
      <c r="S1390" s="81" t="s">
        <v>1676</v>
      </c>
      <c r="T1390" s="56" t="s">
        <v>1682</v>
      </c>
      <c r="X1390" s="46" t="s">
        <v>809</v>
      </c>
      <c r="AB1390" s="46" t="s">
        <v>1585</v>
      </c>
      <c r="AC1390" s="46" t="s">
        <v>1847</v>
      </c>
      <c r="AD1390" s="153" t="str">
        <f t="shared" si="262"/>
        <v>Rye_Winter</v>
      </c>
      <c r="AE1390" s="46" t="s">
        <v>205</v>
      </c>
      <c r="AJ1390" s="46" t="s">
        <v>1154</v>
      </c>
      <c r="AK1390" s="46" t="s">
        <v>1154</v>
      </c>
      <c r="AL1390" s="46" t="s">
        <v>230</v>
      </c>
      <c r="AM1390" s="46" t="s">
        <v>1153</v>
      </c>
      <c r="AN1390" s="46" t="s">
        <v>1153</v>
      </c>
      <c r="AO1390" s="46" t="s">
        <v>230</v>
      </c>
      <c r="AP1390" s="46" t="s">
        <v>154</v>
      </c>
      <c r="AQ1390" s="46">
        <v>4</v>
      </c>
      <c r="AR1390" s="46">
        <v>4</v>
      </c>
      <c r="AS1390" s="46" t="s">
        <v>177</v>
      </c>
      <c r="AU1390" s="46">
        <v>500</v>
      </c>
      <c r="AV1390" s="46">
        <f>100/3.8</f>
        <v>26.315789473684212</v>
      </c>
      <c r="BB1390" s="46">
        <v>3100</v>
      </c>
      <c r="BC1390" s="46">
        <v>3100</v>
      </c>
      <c r="DA1390" s="46">
        <v>58</v>
      </c>
      <c r="DB1390" s="46">
        <v>75</v>
      </c>
      <c r="DC1390" s="46" t="s">
        <v>1156</v>
      </c>
      <c r="FC1390" s="46">
        <v>62</v>
      </c>
    </row>
    <row r="1391" spans="1:159" x14ac:dyDescent="0.25">
      <c r="A1391" s="46">
        <v>62</v>
      </c>
      <c r="B1391" s="46" t="s">
        <v>1149</v>
      </c>
      <c r="C1391" s="46" t="s">
        <v>1150</v>
      </c>
      <c r="D1391" s="46">
        <v>2004</v>
      </c>
      <c r="E1391" s="46">
        <v>2001</v>
      </c>
      <c r="F1391" s="46" t="s">
        <v>1151</v>
      </c>
      <c r="G1391" s="46" t="s">
        <v>1152</v>
      </c>
      <c r="H1391" s="46">
        <v>44.24</v>
      </c>
      <c r="I1391" s="46">
        <v>-95.31</v>
      </c>
      <c r="J1391" s="46">
        <v>344.5</v>
      </c>
      <c r="N1391" s="46">
        <v>670</v>
      </c>
      <c r="P1391" s="81" t="s">
        <v>182</v>
      </c>
      <c r="Q1391" s="81" t="s">
        <v>1057</v>
      </c>
      <c r="R1391" s="81" t="s">
        <v>1155</v>
      </c>
      <c r="S1391" s="81" t="s">
        <v>1676</v>
      </c>
      <c r="T1391" s="56" t="s">
        <v>1682</v>
      </c>
      <c r="X1391" s="46" t="s">
        <v>809</v>
      </c>
      <c r="AB1391" s="46" t="s">
        <v>1585</v>
      </c>
      <c r="AC1391" s="46" t="s">
        <v>1847</v>
      </c>
      <c r="AD1391" s="153" t="str">
        <f t="shared" si="262"/>
        <v>Rye_Winter</v>
      </c>
      <c r="AE1391" s="46" t="s">
        <v>167</v>
      </c>
      <c r="AJ1391" s="46" t="s">
        <v>1154</v>
      </c>
      <c r="AK1391" s="46" t="s">
        <v>1154</v>
      </c>
      <c r="AL1391" s="46" t="s">
        <v>230</v>
      </c>
      <c r="AM1391" s="46" t="s">
        <v>1153</v>
      </c>
      <c r="AN1391" s="46" t="s">
        <v>1153</v>
      </c>
      <c r="AO1391" s="46" t="s">
        <v>230</v>
      </c>
      <c r="AP1391" s="46" t="s">
        <v>154</v>
      </c>
      <c r="AQ1391" s="46">
        <v>4</v>
      </c>
      <c r="AR1391" s="46">
        <v>4</v>
      </c>
      <c r="AS1391" s="46" t="s">
        <v>177</v>
      </c>
      <c r="AU1391" s="46">
        <v>500</v>
      </c>
      <c r="AV1391" s="46">
        <f>100/3.8</f>
        <v>26.315789473684212</v>
      </c>
      <c r="BB1391" s="46">
        <v>7400</v>
      </c>
      <c r="BC1391" s="46">
        <v>7600</v>
      </c>
      <c r="DA1391" s="46">
        <v>68</v>
      </c>
      <c r="DB1391" s="46">
        <v>60</v>
      </c>
      <c r="DC1391" s="46" t="s">
        <v>1156</v>
      </c>
      <c r="FC1391" s="46">
        <v>62</v>
      </c>
    </row>
    <row r="1392" spans="1:159" s="35" customFormat="1" x14ac:dyDescent="0.25">
      <c r="A1392" s="35">
        <v>63</v>
      </c>
      <c r="B1392" s="35" t="s">
        <v>1157</v>
      </c>
      <c r="C1392" s="35" t="s">
        <v>1158</v>
      </c>
      <c r="D1392" s="35">
        <v>1993</v>
      </c>
      <c r="E1392" s="35">
        <v>1989</v>
      </c>
      <c r="F1392" s="35" t="s">
        <v>363</v>
      </c>
      <c r="G1392" s="35" t="s">
        <v>1159</v>
      </c>
      <c r="H1392" s="35">
        <v>39.03</v>
      </c>
      <c r="I1392" s="35">
        <v>-76.91</v>
      </c>
      <c r="J1392" s="35">
        <v>34.6</v>
      </c>
      <c r="P1392" s="54" t="s">
        <v>179</v>
      </c>
      <c r="Q1392" s="54" t="s">
        <v>1057</v>
      </c>
      <c r="R1392" s="54" t="s">
        <v>1161</v>
      </c>
      <c r="S1392" s="54" t="s">
        <v>1659</v>
      </c>
      <c r="T1392" s="54" t="s">
        <v>1659</v>
      </c>
      <c r="X1392" s="35" t="s">
        <v>168</v>
      </c>
      <c r="AB1392" s="35" t="s">
        <v>1587</v>
      </c>
      <c r="AC1392" s="35" t="s">
        <v>301</v>
      </c>
      <c r="AD1392" s="153" t="str">
        <f t="shared" si="262"/>
        <v>Vetch</v>
      </c>
      <c r="AE1392" s="35" t="s">
        <v>1640</v>
      </c>
      <c r="AP1392" s="35" t="s">
        <v>1162</v>
      </c>
      <c r="AQ1392" s="35">
        <v>4</v>
      </c>
      <c r="AR1392" s="35">
        <v>4</v>
      </c>
      <c r="AS1392" s="35" t="s">
        <v>177</v>
      </c>
      <c r="AU1392" s="35">
        <v>4620</v>
      </c>
      <c r="AW1392" s="35" t="s">
        <v>1393</v>
      </c>
      <c r="DD1392" s="35">
        <f>(30.2+20.6)/2</f>
        <v>25.4</v>
      </c>
      <c r="DE1392" s="35">
        <f>(27.6+21.4)/2</f>
        <v>24.5</v>
      </c>
      <c r="FA1392" s="35" t="s">
        <v>1174</v>
      </c>
      <c r="FC1392" s="35">
        <v>63</v>
      </c>
    </row>
    <row r="1393" spans="1:159" s="35" customFormat="1" x14ac:dyDescent="0.25">
      <c r="A1393" s="35">
        <v>63</v>
      </c>
      <c r="B1393" s="35" t="s">
        <v>1157</v>
      </c>
      <c r="C1393" s="35" t="s">
        <v>1158</v>
      </c>
      <c r="D1393" s="35">
        <v>1993</v>
      </c>
      <c r="E1393" s="35">
        <v>1989</v>
      </c>
      <c r="F1393" s="35" t="s">
        <v>363</v>
      </c>
      <c r="G1393" s="35" t="s">
        <v>1159</v>
      </c>
      <c r="H1393" s="35">
        <v>39.03</v>
      </c>
      <c r="I1393" s="35">
        <v>-76.91</v>
      </c>
      <c r="J1393" s="35">
        <v>34.6</v>
      </c>
      <c r="P1393" s="54" t="s">
        <v>179</v>
      </c>
      <c r="Q1393" s="54" t="s">
        <v>1057</v>
      </c>
      <c r="R1393" s="54" t="s">
        <v>1161</v>
      </c>
      <c r="S1393" s="54" t="s">
        <v>1659</v>
      </c>
      <c r="T1393" s="54" t="s">
        <v>1659</v>
      </c>
      <c r="X1393" s="35" t="s">
        <v>168</v>
      </c>
      <c r="AB1393" s="35" t="s">
        <v>1587</v>
      </c>
      <c r="AC1393" s="35" t="s">
        <v>301</v>
      </c>
      <c r="AD1393" s="153" t="str">
        <f t="shared" si="262"/>
        <v>Vetch</v>
      </c>
      <c r="AE1393" s="35" t="s">
        <v>1640</v>
      </c>
      <c r="AP1393" s="35" t="s">
        <v>1162</v>
      </c>
      <c r="AQ1393" s="35">
        <v>4</v>
      </c>
      <c r="AR1393" s="35">
        <v>4</v>
      </c>
      <c r="AS1393" s="35" t="s">
        <v>177</v>
      </c>
      <c r="AU1393" s="35">
        <v>9240</v>
      </c>
      <c r="AW1393" s="35" t="s">
        <v>1393</v>
      </c>
      <c r="DD1393" s="35">
        <f>(30.2+20.6)/2</f>
        <v>25.4</v>
      </c>
      <c r="DE1393" s="35">
        <f>(26.9+21.1)/2</f>
        <v>24</v>
      </c>
      <c r="FA1393" s="35" t="s">
        <v>1174</v>
      </c>
      <c r="FC1393" s="35">
        <v>63</v>
      </c>
    </row>
    <row r="1394" spans="1:159" s="35" customFormat="1" x14ac:dyDescent="0.25">
      <c r="A1394" s="35">
        <v>63</v>
      </c>
      <c r="B1394" s="35" t="s">
        <v>1157</v>
      </c>
      <c r="C1394" s="35" t="s">
        <v>1158</v>
      </c>
      <c r="D1394" s="35">
        <v>1993</v>
      </c>
      <c r="E1394" s="35">
        <v>1990</v>
      </c>
      <c r="F1394" s="35" t="s">
        <v>363</v>
      </c>
      <c r="G1394" s="35" t="s">
        <v>1159</v>
      </c>
      <c r="H1394" s="35">
        <v>39.03</v>
      </c>
      <c r="I1394" s="35">
        <v>-76.91</v>
      </c>
      <c r="J1394" s="35">
        <v>34.6</v>
      </c>
      <c r="P1394" s="54" t="s">
        <v>180</v>
      </c>
      <c r="Q1394" s="54" t="s">
        <v>1057</v>
      </c>
      <c r="R1394" s="54" t="s">
        <v>1161</v>
      </c>
      <c r="S1394" s="54" t="s">
        <v>1659</v>
      </c>
      <c r="T1394" s="54" t="s">
        <v>1659</v>
      </c>
      <c r="X1394" s="35" t="s">
        <v>168</v>
      </c>
      <c r="AB1394" s="35" t="s">
        <v>1587</v>
      </c>
      <c r="AC1394" s="35" t="s">
        <v>301</v>
      </c>
      <c r="AD1394" s="153" t="str">
        <f t="shared" si="262"/>
        <v>Vetch</v>
      </c>
      <c r="AE1394" s="35" t="s">
        <v>1640</v>
      </c>
      <c r="AP1394" s="35" t="s">
        <v>1162</v>
      </c>
      <c r="AQ1394" s="35">
        <v>4</v>
      </c>
      <c r="AR1394" s="35">
        <v>4</v>
      </c>
      <c r="AS1394" s="35" t="s">
        <v>177</v>
      </c>
      <c r="AU1394" s="35">
        <v>3190</v>
      </c>
      <c r="AW1394" s="35" t="s">
        <v>1393</v>
      </c>
      <c r="DD1394" s="35">
        <f>(26.3+15.5)/2</f>
        <v>20.9</v>
      </c>
      <c r="DE1394" s="35">
        <f>(23.7+17)/2</f>
        <v>20.350000000000001</v>
      </c>
      <c r="FA1394" s="35" t="s">
        <v>1174</v>
      </c>
      <c r="FC1394" s="35">
        <v>63</v>
      </c>
    </row>
    <row r="1395" spans="1:159" s="35" customFormat="1" x14ac:dyDescent="0.25">
      <c r="A1395" s="35">
        <v>63</v>
      </c>
      <c r="B1395" s="35" t="s">
        <v>1157</v>
      </c>
      <c r="C1395" s="35" t="s">
        <v>1158</v>
      </c>
      <c r="D1395" s="35">
        <v>1993</v>
      </c>
      <c r="E1395" s="35">
        <v>1990</v>
      </c>
      <c r="F1395" s="35" t="s">
        <v>363</v>
      </c>
      <c r="G1395" s="35" t="s">
        <v>1159</v>
      </c>
      <c r="H1395" s="35">
        <v>39.03</v>
      </c>
      <c r="I1395" s="35">
        <v>-76.91</v>
      </c>
      <c r="J1395" s="35">
        <v>34.6</v>
      </c>
      <c r="P1395" s="54" t="s">
        <v>180</v>
      </c>
      <c r="Q1395" s="54" t="s">
        <v>1057</v>
      </c>
      <c r="R1395" s="54" t="s">
        <v>1161</v>
      </c>
      <c r="S1395" s="54" t="s">
        <v>1659</v>
      </c>
      <c r="T1395" s="54" t="s">
        <v>1659</v>
      </c>
      <c r="X1395" s="35" t="s">
        <v>168</v>
      </c>
      <c r="AB1395" s="35" t="s">
        <v>1587</v>
      </c>
      <c r="AC1395" s="35" t="s">
        <v>301</v>
      </c>
      <c r="AD1395" s="153" t="str">
        <f t="shared" si="262"/>
        <v>Vetch</v>
      </c>
      <c r="AE1395" s="35" t="s">
        <v>1640</v>
      </c>
      <c r="AP1395" s="35" t="s">
        <v>1162</v>
      </c>
      <c r="AQ1395" s="35">
        <v>4</v>
      </c>
      <c r="AR1395" s="35">
        <v>4</v>
      </c>
      <c r="AS1395" s="35" t="s">
        <v>177</v>
      </c>
      <c r="AU1395" s="35">
        <v>6380</v>
      </c>
      <c r="AW1395" s="35" t="s">
        <v>1393</v>
      </c>
      <c r="DD1395" s="35">
        <f>(26.3+15.5)/2</f>
        <v>20.9</v>
      </c>
      <c r="DE1395" s="35">
        <f>(23.6+16.3)/2</f>
        <v>19.950000000000003</v>
      </c>
      <c r="FA1395" s="35" t="s">
        <v>1174</v>
      </c>
      <c r="FC1395" s="35">
        <v>63</v>
      </c>
    </row>
    <row r="1396" spans="1:159" s="26" customFormat="1" x14ac:dyDescent="0.25">
      <c r="A1396" s="26">
        <v>63</v>
      </c>
      <c r="B1396" s="26" t="s">
        <v>1157</v>
      </c>
      <c r="C1396" s="26" t="s">
        <v>1158</v>
      </c>
      <c r="D1396" s="26">
        <v>1993</v>
      </c>
      <c r="E1396" s="26">
        <v>1989</v>
      </c>
      <c r="F1396" s="26" t="s">
        <v>363</v>
      </c>
      <c r="G1396" s="26" t="s">
        <v>1177</v>
      </c>
      <c r="H1396" s="26">
        <v>42.44</v>
      </c>
      <c r="I1396" s="26">
        <v>-76.52</v>
      </c>
      <c r="J1396" s="26">
        <v>188.1</v>
      </c>
      <c r="P1396" s="52" t="s">
        <v>179</v>
      </c>
      <c r="Q1396" s="52" t="s">
        <v>1057</v>
      </c>
      <c r="R1396" s="52" t="s">
        <v>1160</v>
      </c>
      <c r="S1396" s="52" t="s">
        <v>1659</v>
      </c>
      <c r="T1396" s="52" t="s">
        <v>1659</v>
      </c>
      <c r="X1396" s="26" t="s">
        <v>168</v>
      </c>
      <c r="AB1396" s="26" t="s">
        <v>1587</v>
      </c>
      <c r="AC1396" s="26" t="s">
        <v>301</v>
      </c>
      <c r="AD1396" s="153" t="str">
        <f t="shared" si="262"/>
        <v>Vetch</v>
      </c>
      <c r="AE1396" s="26" t="s">
        <v>1640</v>
      </c>
      <c r="AP1396" s="26" t="s">
        <v>1162</v>
      </c>
      <c r="AQ1396" s="26">
        <v>6</v>
      </c>
      <c r="AR1396" s="26">
        <v>6</v>
      </c>
      <c r="AS1396" s="26" t="s">
        <v>177</v>
      </c>
      <c r="AW1396" s="26" t="s">
        <v>1392</v>
      </c>
      <c r="AX1396" s="26" t="s">
        <v>1163</v>
      </c>
      <c r="DG1396" s="26">
        <v>22.57</v>
      </c>
      <c r="DH1396" s="26">
        <v>25.324999999999999</v>
      </c>
      <c r="FA1396" s="26" t="s">
        <v>1174</v>
      </c>
      <c r="FC1396" s="26">
        <v>63</v>
      </c>
    </row>
    <row r="1397" spans="1:159" s="26" customFormat="1" x14ac:dyDescent="0.25">
      <c r="A1397" s="26">
        <v>63</v>
      </c>
      <c r="B1397" s="26" t="s">
        <v>1157</v>
      </c>
      <c r="C1397" s="26" t="s">
        <v>1158</v>
      </c>
      <c r="D1397" s="26">
        <v>1993</v>
      </c>
      <c r="E1397" s="26">
        <v>1989</v>
      </c>
      <c r="F1397" s="26" t="s">
        <v>363</v>
      </c>
      <c r="G1397" s="26" t="s">
        <v>1177</v>
      </c>
      <c r="H1397" s="26">
        <v>42.44</v>
      </c>
      <c r="I1397" s="26">
        <v>-76.52</v>
      </c>
      <c r="J1397" s="26">
        <v>188.1</v>
      </c>
      <c r="P1397" s="52" t="s">
        <v>179</v>
      </c>
      <c r="Q1397" s="52" t="s">
        <v>1057</v>
      </c>
      <c r="R1397" s="52" t="s">
        <v>1160</v>
      </c>
      <c r="S1397" s="52" t="s">
        <v>1659</v>
      </c>
      <c r="T1397" s="52" t="s">
        <v>1659</v>
      </c>
      <c r="X1397" s="26" t="s">
        <v>168</v>
      </c>
      <c r="AB1397" s="26" t="s">
        <v>1587</v>
      </c>
      <c r="AC1397" s="26" t="s">
        <v>301</v>
      </c>
      <c r="AD1397" s="153" t="str">
        <f t="shared" si="262"/>
        <v>Vetch</v>
      </c>
      <c r="AE1397" s="26" t="s">
        <v>1640</v>
      </c>
      <c r="AP1397" s="26" t="s">
        <v>1162</v>
      </c>
      <c r="AQ1397" s="26">
        <v>6</v>
      </c>
      <c r="AR1397" s="26">
        <v>6</v>
      </c>
      <c r="AS1397" s="26" t="s">
        <v>177</v>
      </c>
      <c r="AW1397" s="26" t="s">
        <v>1392</v>
      </c>
      <c r="AX1397" s="26" t="s">
        <v>1164</v>
      </c>
      <c r="DG1397" s="26">
        <v>24.65</v>
      </c>
      <c r="DH1397" s="26">
        <v>25.1</v>
      </c>
      <c r="FA1397" s="26" t="s">
        <v>1174</v>
      </c>
      <c r="FC1397" s="26">
        <v>63</v>
      </c>
    </row>
    <row r="1398" spans="1:159" s="26" customFormat="1" x14ac:dyDescent="0.25">
      <c r="A1398" s="26">
        <v>63</v>
      </c>
      <c r="B1398" s="26" t="s">
        <v>1157</v>
      </c>
      <c r="C1398" s="26" t="s">
        <v>1158</v>
      </c>
      <c r="D1398" s="26">
        <v>1993</v>
      </c>
      <c r="E1398" s="26">
        <v>1989</v>
      </c>
      <c r="F1398" s="26" t="s">
        <v>363</v>
      </c>
      <c r="G1398" s="26" t="s">
        <v>1177</v>
      </c>
      <c r="H1398" s="26">
        <v>42.44</v>
      </c>
      <c r="I1398" s="26">
        <v>-76.52</v>
      </c>
      <c r="J1398" s="26">
        <v>188.1</v>
      </c>
      <c r="P1398" s="52" t="s">
        <v>179</v>
      </c>
      <c r="Q1398" s="52" t="s">
        <v>1057</v>
      </c>
      <c r="R1398" s="52" t="s">
        <v>1160</v>
      </c>
      <c r="S1398" s="52" t="s">
        <v>1659</v>
      </c>
      <c r="T1398" s="52" t="s">
        <v>1659</v>
      </c>
      <c r="X1398" s="26" t="s">
        <v>168</v>
      </c>
      <c r="AB1398" s="26" t="s">
        <v>1587</v>
      </c>
      <c r="AC1398" s="26" t="s">
        <v>301</v>
      </c>
      <c r="AD1398" s="153" t="str">
        <f t="shared" si="262"/>
        <v>Vetch</v>
      </c>
      <c r="AE1398" s="26" t="s">
        <v>1640</v>
      </c>
      <c r="AP1398" s="26" t="s">
        <v>1162</v>
      </c>
      <c r="AQ1398" s="26">
        <v>6</v>
      </c>
      <c r="AR1398" s="26">
        <v>6</v>
      </c>
      <c r="AS1398" s="26" t="s">
        <v>177</v>
      </c>
      <c r="AW1398" s="26" t="s">
        <v>1392</v>
      </c>
      <c r="AX1398" s="26" t="s">
        <v>1165</v>
      </c>
      <c r="DG1398" s="26">
        <v>21.39</v>
      </c>
      <c r="DH1398" s="26">
        <v>25.1</v>
      </c>
      <c r="FA1398" s="26" t="s">
        <v>1174</v>
      </c>
      <c r="FC1398" s="26">
        <v>63</v>
      </c>
    </row>
    <row r="1399" spans="1:159" s="26" customFormat="1" x14ac:dyDescent="0.25">
      <c r="A1399" s="26">
        <v>63</v>
      </c>
      <c r="B1399" s="26" t="s">
        <v>1157</v>
      </c>
      <c r="C1399" s="26" t="s">
        <v>1158</v>
      </c>
      <c r="D1399" s="26">
        <v>1993</v>
      </c>
      <c r="E1399" s="26">
        <v>1989</v>
      </c>
      <c r="F1399" s="26" t="s">
        <v>363</v>
      </c>
      <c r="G1399" s="26" t="s">
        <v>1177</v>
      </c>
      <c r="H1399" s="26">
        <v>42.44</v>
      </c>
      <c r="I1399" s="26">
        <v>-76.52</v>
      </c>
      <c r="J1399" s="26">
        <v>188.1</v>
      </c>
      <c r="P1399" s="52" t="s">
        <v>179</v>
      </c>
      <c r="Q1399" s="52" t="s">
        <v>1057</v>
      </c>
      <c r="R1399" s="52" t="s">
        <v>1160</v>
      </c>
      <c r="S1399" s="52" t="s">
        <v>1659</v>
      </c>
      <c r="T1399" s="52" t="s">
        <v>1659</v>
      </c>
      <c r="X1399" s="26" t="s">
        <v>168</v>
      </c>
      <c r="AB1399" s="26" t="s">
        <v>1587</v>
      </c>
      <c r="AC1399" s="26" t="s">
        <v>301</v>
      </c>
      <c r="AD1399" s="153" t="str">
        <f t="shared" si="262"/>
        <v>Vetch</v>
      </c>
      <c r="AE1399" s="26" t="s">
        <v>1640</v>
      </c>
      <c r="AP1399" s="26" t="s">
        <v>1162</v>
      </c>
      <c r="AQ1399" s="26">
        <v>6</v>
      </c>
      <c r="AR1399" s="26">
        <v>6</v>
      </c>
      <c r="AS1399" s="26" t="s">
        <v>177</v>
      </c>
      <c r="AW1399" s="26" t="s">
        <v>1392</v>
      </c>
      <c r="AX1399" s="26" t="s">
        <v>1166</v>
      </c>
      <c r="DG1399" s="26">
        <v>16.59</v>
      </c>
      <c r="DH1399" s="26">
        <v>25.2</v>
      </c>
      <c r="FA1399" s="26" t="s">
        <v>1174</v>
      </c>
      <c r="FC1399" s="26">
        <v>63</v>
      </c>
    </row>
    <row r="1400" spans="1:159" s="26" customFormat="1" x14ac:dyDescent="0.25">
      <c r="A1400" s="26">
        <v>63</v>
      </c>
      <c r="B1400" s="26" t="s">
        <v>1157</v>
      </c>
      <c r="C1400" s="26" t="s">
        <v>1158</v>
      </c>
      <c r="D1400" s="26">
        <v>1993</v>
      </c>
      <c r="E1400" s="26">
        <v>1989</v>
      </c>
      <c r="F1400" s="26" t="s">
        <v>363</v>
      </c>
      <c r="G1400" s="26" t="s">
        <v>1177</v>
      </c>
      <c r="H1400" s="26">
        <v>42.44</v>
      </c>
      <c r="I1400" s="26">
        <v>-76.52</v>
      </c>
      <c r="J1400" s="26">
        <v>188.1</v>
      </c>
      <c r="P1400" s="52" t="s">
        <v>179</v>
      </c>
      <c r="Q1400" s="52" t="s">
        <v>1057</v>
      </c>
      <c r="R1400" s="52" t="s">
        <v>1160</v>
      </c>
      <c r="S1400" s="52" t="s">
        <v>1659</v>
      </c>
      <c r="T1400" s="52" t="s">
        <v>1659</v>
      </c>
      <c r="X1400" s="26" t="s">
        <v>168</v>
      </c>
      <c r="AB1400" s="26" t="s">
        <v>1587</v>
      </c>
      <c r="AC1400" s="26" t="s">
        <v>301</v>
      </c>
      <c r="AD1400" s="153" t="str">
        <f t="shared" si="262"/>
        <v>Vetch</v>
      </c>
      <c r="AE1400" s="26" t="s">
        <v>1640</v>
      </c>
      <c r="AP1400" s="26" t="s">
        <v>1162</v>
      </c>
      <c r="AQ1400" s="26">
        <v>6</v>
      </c>
      <c r="AR1400" s="26">
        <v>6</v>
      </c>
      <c r="AS1400" s="26" t="s">
        <v>177</v>
      </c>
      <c r="AW1400" s="26" t="s">
        <v>1392</v>
      </c>
      <c r="AX1400" s="26" t="s">
        <v>1167</v>
      </c>
      <c r="DG1400" s="26">
        <v>24.38</v>
      </c>
      <c r="DH1400" s="26">
        <v>25.3</v>
      </c>
      <c r="FA1400" s="26" t="s">
        <v>1174</v>
      </c>
      <c r="FC1400" s="26">
        <v>63</v>
      </c>
    </row>
    <row r="1401" spans="1:159" s="26" customFormat="1" x14ac:dyDescent="0.25">
      <c r="A1401" s="26">
        <v>63</v>
      </c>
      <c r="B1401" s="26" t="s">
        <v>1157</v>
      </c>
      <c r="C1401" s="26" t="s">
        <v>1158</v>
      </c>
      <c r="D1401" s="26">
        <v>1993</v>
      </c>
      <c r="E1401" s="26">
        <v>1989</v>
      </c>
      <c r="F1401" s="26" t="s">
        <v>363</v>
      </c>
      <c r="G1401" s="26" t="s">
        <v>1177</v>
      </c>
      <c r="H1401" s="26">
        <v>42.44</v>
      </c>
      <c r="I1401" s="26">
        <v>-76.52</v>
      </c>
      <c r="J1401" s="26">
        <v>188.1</v>
      </c>
      <c r="P1401" s="52" t="s">
        <v>179</v>
      </c>
      <c r="Q1401" s="52" t="s">
        <v>1057</v>
      </c>
      <c r="R1401" s="52" t="s">
        <v>1160</v>
      </c>
      <c r="S1401" s="52" t="s">
        <v>1659</v>
      </c>
      <c r="T1401" s="52" t="s">
        <v>1659</v>
      </c>
      <c r="X1401" s="26" t="s">
        <v>168</v>
      </c>
      <c r="AB1401" s="26" t="s">
        <v>1587</v>
      </c>
      <c r="AC1401" s="26" t="s">
        <v>301</v>
      </c>
      <c r="AD1401" s="153" t="str">
        <f t="shared" si="262"/>
        <v>Vetch</v>
      </c>
      <c r="AE1401" s="26" t="s">
        <v>1640</v>
      </c>
      <c r="AP1401" s="26" t="s">
        <v>1162</v>
      </c>
      <c r="AQ1401" s="26">
        <v>6</v>
      </c>
      <c r="AR1401" s="26">
        <v>6</v>
      </c>
      <c r="AS1401" s="26" t="s">
        <v>177</v>
      </c>
      <c r="AW1401" s="26" t="s">
        <v>1392</v>
      </c>
      <c r="AX1401" s="26" t="s">
        <v>1168</v>
      </c>
      <c r="DG1401" s="26">
        <v>20.39</v>
      </c>
      <c r="DH1401" s="26">
        <v>25.29</v>
      </c>
      <c r="FA1401" s="26" t="s">
        <v>1174</v>
      </c>
      <c r="FC1401" s="26">
        <v>63</v>
      </c>
    </row>
    <row r="1402" spans="1:159" s="26" customFormat="1" x14ac:dyDescent="0.25">
      <c r="A1402" s="26">
        <v>63</v>
      </c>
      <c r="B1402" s="26" t="s">
        <v>1157</v>
      </c>
      <c r="C1402" s="26" t="s">
        <v>1158</v>
      </c>
      <c r="D1402" s="26">
        <v>1993</v>
      </c>
      <c r="E1402" s="26">
        <v>1989</v>
      </c>
      <c r="F1402" s="26" t="s">
        <v>363</v>
      </c>
      <c r="G1402" s="26" t="s">
        <v>1177</v>
      </c>
      <c r="H1402" s="26">
        <v>42.44</v>
      </c>
      <c r="I1402" s="26">
        <v>-76.52</v>
      </c>
      <c r="J1402" s="26">
        <v>188.1</v>
      </c>
      <c r="P1402" s="52" t="s">
        <v>179</v>
      </c>
      <c r="Q1402" s="52" t="s">
        <v>1057</v>
      </c>
      <c r="R1402" s="52" t="s">
        <v>1160</v>
      </c>
      <c r="S1402" s="52" t="s">
        <v>1659</v>
      </c>
      <c r="T1402" s="52" t="s">
        <v>1659</v>
      </c>
      <c r="X1402" s="26" t="s">
        <v>168</v>
      </c>
      <c r="AB1402" s="26" t="s">
        <v>1587</v>
      </c>
      <c r="AC1402" s="26" t="s">
        <v>301</v>
      </c>
      <c r="AD1402" s="153" t="str">
        <f t="shared" si="262"/>
        <v>Vetch</v>
      </c>
      <c r="AE1402" s="26" t="s">
        <v>1640</v>
      </c>
      <c r="AP1402" s="26" t="s">
        <v>1162</v>
      </c>
      <c r="AQ1402" s="26">
        <v>6</v>
      </c>
      <c r="AR1402" s="26">
        <v>6</v>
      </c>
      <c r="AS1402" s="26" t="s">
        <v>177</v>
      </c>
      <c r="AW1402" s="26" t="s">
        <v>1392</v>
      </c>
      <c r="AX1402" s="26" t="s">
        <v>1169</v>
      </c>
      <c r="DG1402" s="26">
        <v>16.23</v>
      </c>
      <c r="DH1402" s="26">
        <v>25.29</v>
      </c>
      <c r="FA1402" s="26" t="s">
        <v>1174</v>
      </c>
      <c r="FC1402" s="26">
        <v>63</v>
      </c>
    </row>
    <row r="1403" spans="1:159" s="26" customFormat="1" x14ac:dyDescent="0.25">
      <c r="A1403" s="26">
        <v>63</v>
      </c>
      <c r="B1403" s="26" t="s">
        <v>1157</v>
      </c>
      <c r="C1403" s="26" t="s">
        <v>1158</v>
      </c>
      <c r="D1403" s="26">
        <v>1993</v>
      </c>
      <c r="E1403" s="26">
        <v>1989</v>
      </c>
      <c r="F1403" s="26" t="s">
        <v>363</v>
      </c>
      <c r="G1403" s="26" t="s">
        <v>1177</v>
      </c>
      <c r="H1403" s="26">
        <v>42.44</v>
      </c>
      <c r="I1403" s="26">
        <v>-76.52</v>
      </c>
      <c r="J1403" s="26">
        <v>188.1</v>
      </c>
      <c r="P1403" s="52" t="s">
        <v>179</v>
      </c>
      <c r="Q1403" s="52" t="s">
        <v>1057</v>
      </c>
      <c r="R1403" s="52" t="s">
        <v>1160</v>
      </c>
      <c r="S1403" s="52" t="s">
        <v>1659</v>
      </c>
      <c r="T1403" s="52" t="s">
        <v>1659</v>
      </c>
      <c r="X1403" s="26" t="s">
        <v>168</v>
      </c>
      <c r="AB1403" s="26" t="s">
        <v>1587</v>
      </c>
      <c r="AC1403" s="26" t="s">
        <v>301</v>
      </c>
      <c r="AD1403" s="153" t="str">
        <f t="shared" si="262"/>
        <v>Vetch</v>
      </c>
      <c r="AE1403" s="26" t="s">
        <v>1640</v>
      </c>
      <c r="AP1403" s="26" t="s">
        <v>1162</v>
      </c>
      <c r="AQ1403" s="26">
        <v>6</v>
      </c>
      <c r="AR1403" s="26">
        <v>6</v>
      </c>
      <c r="AS1403" s="26" t="s">
        <v>177</v>
      </c>
      <c r="AW1403" s="26" t="s">
        <v>1392</v>
      </c>
      <c r="AX1403" s="26" t="s">
        <v>1170</v>
      </c>
      <c r="DG1403" s="26">
        <v>25.65</v>
      </c>
      <c r="DH1403" s="26">
        <v>25.65</v>
      </c>
      <c r="FA1403" s="26" t="s">
        <v>1174</v>
      </c>
      <c r="FC1403" s="26">
        <v>63</v>
      </c>
    </row>
    <row r="1404" spans="1:159" s="26" customFormat="1" x14ac:dyDescent="0.25">
      <c r="A1404" s="26">
        <v>63</v>
      </c>
      <c r="B1404" s="26" t="s">
        <v>1157</v>
      </c>
      <c r="C1404" s="26" t="s">
        <v>1158</v>
      </c>
      <c r="D1404" s="26">
        <v>1993</v>
      </c>
      <c r="E1404" s="26">
        <v>1989</v>
      </c>
      <c r="F1404" s="26" t="s">
        <v>363</v>
      </c>
      <c r="G1404" s="26" t="s">
        <v>1177</v>
      </c>
      <c r="H1404" s="26">
        <v>42.44</v>
      </c>
      <c r="I1404" s="26">
        <v>-76.52</v>
      </c>
      <c r="J1404" s="26">
        <v>188.1</v>
      </c>
      <c r="P1404" s="52" t="s">
        <v>179</v>
      </c>
      <c r="Q1404" s="52" t="s">
        <v>1057</v>
      </c>
      <c r="R1404" s="52" t="s">
        <v>1160</v>
      </c>
      <c r="S1404" s="52" t="s">
        <v>1659</v>
      </c>
      <c r="T1404" s="52" t="s">
        <v>1659</v>
      </c>
      <c r="X1404" s="26" t="s">
        <v>168</v>
      </c>
      <c r="AB1404" s="26" t="s">
        <v>1587</v>
      </c>
      <c r="AC1404" s="26" t="s">
        <v>301</v>
      </c>
      <c r="AD1404" s="153" t="str">
        <f t="shared" si="262"/>
        <v>Vetch</v>
      </c>
      <c r="AE1404" s="26" t="s">
        <v>1640</v>
      </c>
      <c r="AP1404" s="26" t="s">
        <v>1162</v>
      </c>
      <c r="AQ1404" s="26">
        <v>6</v>
      </c>
      <c r="AR1404" s="26">
        <v>6</v>
      </c>
      <c r="AS1404" s="26" t="s">
        <v>177</v>
      </c>
      <c r="AW1404" s="26" t="s">
        <v>1392</v>
      </c>
      <c r="AX1404" s="26" t="s">
        <v>1171</v>
      </c>
      <c r="DG1404" s="26">
        <v>18.41</v>
      </c>
      <c r="DH1404" s="26">
        <v>25.11</v>
      </c>
      <c r="FA1404" s="26" t="s">
        <v>1174</v>
      </c>
      <c r="FC1404" s="26">
        <v>63</v>
      </c>
    </row>
    <row r="1405" spans="1:159" s="26" customFormat="1" x14ac:dyDescent="0.25">
      <c r="A1405" s="26">
        <v>63</v>
      </c>
      <c r="B1405" s="26" t="s">
        <v>1157</v>
      </c>
      <c r="C1405" s="26" t="s">
        <v>1158</v>
      </c>
      <c r="D1405" s="26">
        <v>1993</v>
      </c>
      <c r="E1405" s="26">
        <v>1989</v>
      </c>
      <c r="F1405" s="26" t="s">
        <v>363</v>
      </c>
      <c r="G1405" s="26" t="s">
        <v>1177</v>
      </c>
      <c r="H1405" s="26">
        <v>42.44</v>
      </c>
      <c r="I1405" s="26">
        <v>-76.52</v>
      </c>
      <c r="J1405" s="26">
        <v>188.1</v>
      </c>
      <c r="P1405" s="52" t="s">
        <v>179</v>
      </c>
      <c r="Q1405" s="52" t="s">
        <v>1057</v>
      </c>
      <c r="R1405" s="52" t="s">
        <v>1160</v>
      </c>
      <c r="S1405" s="52" t="s">
        <v>1659</v>
      </c>
      <c r="T1405" s="52" t="s">
        <v>1659</v>
      </c>
      <c r="X1405" s="26" t="s">
        <v>168</v>
      </c>
      <c r="AB1405" s="26" t="s">
        <v>1587</v>
      </c>
      <c r="AC1405" s="26" t="s">
        <v>301</v>
      </c>
      <c r="AD1405" s="153" t="str">
        <f t="shared" si="262"/>
        <v>Vetch</v>
      </c>
      <c r="AE1405" s="26" t="s">
        <v>1640</v>
      </c>
      <c r="AP1405" s="26" t="s">
        <v>1162</v>
      </c>
      <c r="AQ1405" s="26">
        <v>6</v>
      </c>
      <c r="AR1405" s="26">
        <v>6</v>
      </c>
      <c r="AS1405" s="26" t="s">
        <v>177</v>
      </c>
      <c r="AW1405" s="26" t="s">
        <v>1392</v>
      </c>
      <c r="AX1405" s="26" t="s">
        <v>1172</v>
      </c>
      <c r="DG1405" s="26">
        <v>16.059999999999999</v>
      </c>
      <c r="DH1405" s="26">
        <v>25.1</v>
      </c>
      <c r="FA1405" s="26" t="s">
        <v>1174</v>
      </c>
      <c r="FC1405" s="26">
        <v>63</v>
      </c>
    </row>
    <row r="1406" spans="1:159" s="26" customFormat="1" x14ac:dyDescent="0.25">
      <c r="A1406" s="26">
        <v>63</v>
      </c>
      <c r="B1406" s="26" t="s">
        <v>1157</v>
      </c>
      <c r="C1406" s="26" t="s">
        <v>1158</v>
      </c>
      <c r="D1406" s="26">
        <v>1993</v>
      </c>
      <c r="E1406" s="26">
        <v>1989</v>
      </c>
      <c r="F1406" s="26" t="s">
        <v>363</v>
      </c>
      <c r="G1406" s="26" t="s">
        <v>1177</v>
      </c>
      <c r="H1406" s="26">
        <v>42.44</v>
      </c>
      <c r="I1406" s="26">
        <v>-76.52</v>
      </c>
      <c r="J1406" s="26">
        <v>188.1</v>
      </c>
      <c r="P1406" s="52" t="s">
        <v>179</v>
      </c>
      <c r="Q1406" s="52" t="s">
        <v>1057</v>
      </c>
      <c r="R1406" s="52" t="s">
        <v>1160</v>
      </c>
      <c r="S1406" s="52" t="s">
        <v>1659</v>
      </c>
      <c r="T1406" s="52" t="s">
        <v>1659</v>
      </c>
      <c r="X1406" s="26" t="s">
        <v>168</v>
      </c>
      <c r="AB1406" s="26" t="s">
        <v>1587</v>
      </c>
      <c r="AC1406" s="26" t="s">
        <v>301</v>
      </c>
      <c r="AD1406" s="153" t="str">
        <f t="shared" si="262"/>
        <v>Vetch</v>
      </c>
      <c r="AE1406" s="26" t="s">
        <v>1640</v>
      </c>
      <c r="AP1406" s="26" t="s">
        <v>1162</v>
      </c>
      <c r="AQ1406" s="26">
        <v>6</v>
      </c>
      <c r="AR1406" s="26">
        <v>6</v>
      </c>
      <c r="AS1406" s="26" t="s">
        <v>177</v>
      </c>
      <c r="AW1406" s="26" t="s">
        <v>1392</v>
      </c>
      <c r="AX1406" s="26" t="s">
        <v>1173</v>
      </c>
      <c r="DG1406" s="26">
        <v>25.48</v>
      </c>
      <c r="DH1406" s="26">
        <v>25.48</v>
      </c>
      <c r="FA1406" s="26" t="s">
        <v>1174</v>
      </c>
      <c r="FC1406" s="26">
        <v>63</v>
      </c>
    </row>
    <row r="1407" spans="1:159" s="35" customFormat="1" x14ac:dyDescent="0.25">
      <c r="A1407" s="35">
        <v>63</v>
      </c>
      <c r="B1407" s="35" t="s">
        <v>1157</v>
      </c>
      <c r="C1407" s="35" t="s">
        <v>1158</v>
      </c>
      <c r="D1407" s="35">
        <v>1993</v>
      </c>
      <c r="E1407" s="35">
        <v>1989</v>
      </c>
      <c r="F1407" s="35" t="s">
        <v>363</v>
      </c>
      <c r="G1407" s="35" t="s">
        <v>1177</v>
      </c>
      <c r="H1407" s="35">
        <v>42.44</v>
      </c>
      <c r="I1407" s="35">
        <v>-76.52</v>
      </c>
      <c r="J1407" s="35">
        <v>188.1</v>
      </c>
      <c r="P1407" s="54" t="s">
        <v>179</v>
      </c>
      <c r="Q1407" s="54" t="s">
        <v>1057</v>
      </c>
      <c r="R1407" s="54" t="s">
        <v>1160</v>
      </c>
      <c r="S1407" s="54" t="s">
        <v>1659</v>
      </c>
      <c r="T1407" s="54" t="s">
        <v>1659</v>
      </c>
      <c r="X1407" s="35" t="s">
        <v>168</v>
      </c>
      <c r="AB1407" s="35" t="s">
        <v>1587</v>
      </c>
      <c r="AC1407" s="35" t="s">
        <v>166</v>
      </c>
      <c r="AD1407" s="153" t="str">
        <f t="shared" si="262"/>
        <v>Rye</v>
      </c>
      <c r="AE1407" s="35" t="s">
        <v>1640</v>
      </c>
      <c r="AP1407" s="35" t="s">
        <v>1162</v>
      </c>
      <c r="AQ1407" s="35">
        <v>6</v>
      </c>
      <c r="AR1407" s="35">
        <v>6</v>
      </c>
      <c r="AS1407" s="35" t="s">
        <v>177</v>
      </c>
      <c r="AW1407" s="35" t="s">
        <v>1392</v>
      </c>
      <c r="AX1407" s="35" t="s">
        <v>1163</v>
      </c>
      <c r="DG1407" s="35">
        <v>21.14</v>
      </c>
      <c r="DH1407" s="35">
        <v>25.65</v>
      </c>
      <c r="FA1407" s="35" t="s">
        <v>1174</v>
      </c>
      <c r="FC1407" s="35">
        <v>63</v>
      </c>
    </row>
    <row r="1408" spans="1:159" s="35" customFormat="1" x14ac:dyDescent="0.25">
      <c r="A1408" s="35">
        <v>63</v>
      </c>
      <c r="B1408" s="35" t="s">
        <v>1157</v>
      </c>
      <c r="C1408" s="35" t="s">
        <v>1158</v>
      </c>
      <c r="D1408" s="35">
        <v>1993</v>
      </c>
      <c r="E1408" s="35">
        <v>1989</v>
      </c>
      <c r="F1408" s="35" t="s">
        <v>363</v>
      </c>
      <c r="G1408" s="35" t="s">
        <v>1177</v>
      </c>
      <c r="H1408" s="35">
        <v>42.44</v>
      </c>
      <c r="I1408" s="35">
        <v>-76.52</v>
      </c>
      <c r="J1408" s="35">
        <v>188.1</v>
      </c>
      <c r="P1408" s="54" t="s">
        <v>179</v>
      </c>
      <c r="Q1408" s="54" t="s">
        <v>1057</v>
      </c>
      <c r="R1408" s="54" t="s">
        <v>1160</v>
      </c>
      <c r="S1408" s="54" t="s">
        <v>1659</v>
      </c>
      <c r="T1408" s="54" t="s">
        <v>1659</v>
      </c>
      <c r="X1408" s="35" t="s">
        <v>168</v>
      </c>
      <c r="AB1408" s="35" t="s">
        <v>1587</v>
      </c>
      <c r="AC1408" s="35" t="s">
        <v>166</v>
      </c>
      <c r="AD1408" s="153" t="str">
        <f t="shared" si="262"/>
        <v>Rye</v>
      </c>
      <c r="AE1408" s="35" t="s">
        <v>1640</v>
      </c>
      <c r="AP1408" s="35" t="s">
        <v>1162</v>
      </c>
      <c r="AQ1408" s="35">
        <v>6</v>
      </c>
      <c r="AR1408" s="35">
        <v>6</v>
      </c>
      <c r="AS1408" s="35" t="s">
        <v>177</v>
      </c>
      <c r="AW1408" s="35" t="s">
        <v>1392</v>
      </c>
      <c r="AX1408" s="35" t="s">
        <v>1164</v>
      </c>
      <c r="DG1408" s="35">
        <v>24.63</v>
      </c>
      <c r="DH1408" s="35">
        <v>25.6</v>
      </c>
      <c r="FA1408" s="35" t="s">
        <v>1174</v>
      </c>
      <c r="FC1408" s="35">
        <v>63</v>
      </c>
    </row>
    <row r="1409" spans="1:159" s="35" customFormat="1" x14ac:dyDescent="0.25">
      <c r="A1409" s="35">
        <v>63</v>
      </c>
      <c r="B1409" s="35" t="s">
        <v>1157</v>
      </c>
      <c r="C1409" s="35" t="s">
        <v>1158</v>
      </c>
      <c r="D1409" s="35">
        <v>1993</v>
      </c>
      <c r="E1409" s="35">
        <v>1989</v>
      </c>
      <c r="F1409" s="35" t="s">
        <v>363</v>
      </c>
      <c r="G1409" s="35" t="s">
        <v>1177</v>
      </c>
      <c r="H1409" s="35">
        <v>42.44</v>
      </c>
      <c r="I1409" s="35">
        <v>-76.52</v>
      </c>
      <c r="J1409" s="35">
        <v>188.1</v>
      </c>
      <c r="P1409" s="54" t="s">
        <v>179</v>
      </c>
      <c r="Q1409" s="54" t="s">
        <v>1057</v>
      </c>
      <c r="R1409" s="54" t="s">
        <v>1160</v>
      </c>
      <c r="S1409" s="54" t="s">
        <v>1659</v>
      </c>
      <c r="T1409" s="54" t="s">
        <v>1659</v>
      </c>
      <c r="X1409" s="35" t="s">
        <v>168</v>
      </c>
      <c r="AB1409" s="35" t="s">
        <v>1587</v>
      </c>
      <c r="AC1409" s="35" t="s">
        <v>166</v>
      </c>
      <c r="AD1409" s="153" t="str">
        <f t="shared" si="262"/>
        <v>Rye</v>
      </c>
      <c r="AE1409" s="35" t="s">
        <v>1640</v>
      </c>
      <c r="AP1409" s="35" t="s">
        <v>1162</v>
      </c>
      <c r="AQ1409" s="35">
        <v>6</v>
      </c>
      <c r="AR1409" s="35">
        <v>6</v>
      </c>
      <c r="AS1409" s="35" t="s">
        <v>177</v>
      </c>
      <c r="AW1409" s="35" t="s">
        <v>1392</v>
      </c>
      <c r="AX1409" s="35" t="s">
        <v>1165</v>
      </c>
      <c r="DG1409" s="35">
        <v>23.83</v>
      </c>
      <c r="DH1409" s="35">
        <v>25.68</v>
      </c>
      <c r="FA1409" s="35" t="s">
        <v>1174</v>
      </c>
      <c r="FC1409" s="35">
        <v>63</v>
      </c>
    </row>
    <row r="1410" spans="1:159" s="35" customFormat="1" x14ac:dyDescent="0.25">
      <c r="A1410" s="35">
        <v>63</v>
      </c>
      <c r="B1410" s="35" t="s">
        <v>1157</v>
      </c>
      <c r="C1410" s="35" t="s">
        <v>1158</v>
      </c>
      <c r="D1410" s="35">
        <v>1993</v>
      </c>
      <c r="E1410" s="35">
        <v>1989</v>
      </c>
      <c r="F1410" s="35" t="s">
        <v>363</v>
      </c>
      <c r="G1410" s="35" t="s">
        <v>1177</v>
      </c>
      <c r="H1410" s="35">
        <v>42.44</v>
      </c>
      <c r="I1410" s="35">
        <v>-76.52</v>
      </c>
      <c r="J1410" s="35">
        <v>188.1</v>
      </c>
      <c r="P1410" s="54" t="s">
        <v>179</v>
      </c>
      <c r="Q1410" s="54" t="s">
        <v>1057</v>
      </c>
      <c r="R1410" s="54" t="s">
        <v>1160</v>
      </c>
      <c r="S1410" s="54" t="s">
        <v>1659</v>
      </c>
      <c r="T1410" s="54" t="s">
        <v>1659</v>
      </c>
      <c r="X1410" s="35" t="s">
        <v>168</v>
      </c>
      <c r="AB1410" s="35" t="s">
        <v>1587</v>
      </c>
      <c r="AC1410" s="35" t="s">
        <v>166</v>
      </c>
      <c r="AD1410" s="153" t="str">
        <f t="shared" si="262"/>
        <v>Rye</v>
      </c>
      <c r="AE1410" s="35" t="s">
        <v>1640</v>
      </c>
      <c r="AP1410" s="35" t="s">
        <v>1162</v>
      </c>
      <c r="AQ1410" s="35">
        <v>6</v>
      </c>
      <c r="AR1410" s="35">
        <v>6</v>
      </c>
      <c r="AS1410" s="35" t="s">
        <v>177</v>
      </c>
      <c r="AW1410" s="35" t="s">
        <v>1392</v>
      </c>
      <c r="AX1410" s="35" t="s">
        <v>1166</v>
      </c>
      <c r="DG1410" s="35">
        <v>17.64</v>
      </c>
      <c r="DH1410" s="35">
        <v>25.77</v>
      </c>
      <c r="FA1410" s="35" t="s">
        <v>1174</v>
      </c>
      <c r="FC1410" s="35">
        <v>63</v>
      </c>
    </row>
    <row r="1411" spans="1:159" s="35" customFormat="1" x14ac:dyDescent="0.25">
      <c r="A1411" s="35">
        <v>63</v>
      </c>
      <c r="B1411" s="35" t="s">
        <v>1157</v>
      </c>
      <c r="C1411" s="35" t="s">
        <v>1158</v>
      </c>
      <c r="D1411" s="35">
        <v>1993</v>
      </c>
      <c r="E1411" s="35">
        <v>1989</v>
      </c>
      <c r="F1411" s="35" t="s">
        <v>363</v>
      </c>
      <c r="G1411" s="35" t="s">
        <v>1177</v>
      </c>
      <c r="H1411" s="35">
        <v>42.44</v>
      </c>
      <c r="I1411" s="35">
        <v>-76.52</v>
      </c>
      <c r="J1411" s="35">
        <v>188.1</v>
      </c>
      <c r="P1411" s="54" t="s">
        <v>179</v>
      </c>
      <c r="Q1411" s="54" t="s">
        <v>1057</v>
      </c>
      <c r="R1411" s="54" t="s">
        <v>1160</v>
      </c>
      <c r="S1411" s="54" t="s">
        <v>1659</v>
      </c>
      <c r="T1411" s="54" t="s">
        <v>1659</v>
      </c>
      <c r="X1411" s="35" t="s">
        <v>168</v>
      </c>
      <c r="AB1411" s="35" t="s">
        <v>1587</v>
      </c>
      <c r="AC1411" s="35" t="s">
        <v>166</v>
      </c>
      <c r="AD1411" s="153" t="str">
        <f t="shared" ref="AD1411:AD1474" si="263">IF(OR(AC1411="*Rye",AC1411="Rye*",AC1411="Downy_brome"),"Rye",IF(OR(AC1411="*Oat",AC1411="Oat*",AC1411="Trudan_8",AC1411="*Wheat",AC1411="Wheat*",AC1411="Barley*",AC1411="Hemp",AC1411="Hemp",AC1411="Triticale*",AC1411="Grass",AC1411="Millet"),"Grass",IF(OR(AC1411="*clover",AC1411="clover*",AC1411="Vetch*",AC1411="Vetch*",AC1411="Alfalfa",AC1411="Soybean",AC1411="*Lentil",AC1411="Lentil*",AC1411="*Pea",AC1411="Pea*",AC1411="Lupine"),"Legume",AC1411)))</f>
        <v>Rye</v>
      </c>
      <c r="AE1411" s="35" t="s">
        <v>1640</v>
      </c>
      <c r="AP1411" s="35" t="s">
        <v>1162</v>
      </c>
      <c r="AQ1411" s="35">
        <v>6</v>
      </c>
      <c r="AR1411" s="35">
        <v>6</v>
      </c>
      <c r="AS1411" s="35" t="s">
        <v>177</v>
      </c>
      <c r="AW1411" s="35" t="s">
        <v>1392</v>
      </c>
      <c r="AX1411" s="35" t="s">
        <v>1167</v>
      </c>
      <c r="DG1411" s="35">
        <v>25.5</v>
      </c>
      <c r="DH1411" s="35">
        <v>25.5</v>
      </c>
      <c r="FA1411" s="35" t="s">
        <v>1174</v>
      </c>
      <c r="FC1411" s="35">
        <v>63</v>
      </c>
    </row>
    <row r="1412" spans="1:159" s="35" customFormat="1" x14ac:dyDescent="0.25">
      <c r="A1412" s="35">
        <v>63</v>
      </c>
      <c r="B1412" s="35" t="s">
        <v>1157</v>
      </c>
      <c r="C1412" s="35" t="s">
        <v>1158</v>
      </c>
      <c r="D1412" s="35">
        <v>1993</v>
      </c>
      <c r="E1412" s="35">
        <v>1989</v>
      </c>
      <c r="F1412" s="35" t="s">
        <v>363</v>
      </c>
      <c r="G1412" s="35" t="s">
        <v>1177</v>
      </c>
      <c r="H1412" s="35">
        <v>42.44</v>
      </c>
      <c r="I1412" s="35">
        <v>-76.52</v>
      </c>
      <c r="J1412" s="35">
        <v>188.1</v>
      </c>
      <c r="P1412" s="54" t="s">
        <v>179</v>
      </c>
      <c r="Q1412" s="54" t="s">
        <v>1057</v>
      </c>
      <c r="R1412" s="54" t="s">
        <v>1160</v>
      </c>
      <c r="S1412" s="54" t="s">
        <v>1659</v>
      </c>
      <c r="T1412" s="54" t="s">
        <v>1659</v>
      </c>
      <c r="X1412" s="35" t="s">
        <v>168</v>
      </c>
      <c r="AB1412" s="35" t="s">
        <v>1587</v>
      </c>
      <c r="AC1412" s="35" t="s">
        <v>166</v>
      </c>
      <c r="AD1412" s="153" t="str">
        <f t="shared" si="263"/>
        <v>Rye</v>
      </c>
      <c r="AE1412" s="35" t="s">
        <v>1640</v>
      </c>
      <c r="AP1412" s="35" t="s">
        <v>1162</v>
      </c>
      <c r="AQ1412" s="35">
        <v>6</v>
      </c>
      <c r="AR1412" s="35">
        <v>6</v>
      </c>
      <c r="AS1412" s="35" t="s">
        <v>177</v>
      </c>
      <c r="AW1412" s="35" t="s">
        <v>1392</v>
      </c>
      <c r="AX1412" s="35" t="s">
        <v>1168</v>
      </c>
      <c r="DG1412" s="35">
        <v>22.23</v>
      </c>
      <c r="DH1412" s="35">
        <v>25.5</v>
      </c>
      <c r="FA1412" s="35" t="s">
        <v>1174</v>
      </c>
      <c r="FC1412" s="35">
        <v>63</v>
      </c>
    </row>
    <row r="1413" spans="1:159" s="35" customFormat="1" x14ac:dyDescent="0.25">
      <c r="A1413" s="35">
        <v>63</v>
      </c>
      <c r="B1413" s="35" t="s">
        <v>1157</v>
      </c>
      <c r="C1413" s="35" t="s">
        <v>1158</v>
      </c>
      <c r="D1413" s="35">
        <v>1993</v>
      </c>
      <c r="E1413" s="35">
        <v>1989</v>
      </c>
      <c r="F1413" s="35" t="s">
        <v>363</v>
      </c>
      <c r="G1413" s="35" t="s">
        <v>1177</v>
      </c>
      <c r="H1413" s="35">
        <v>42.44</v>
      </c>
      <c r="I1413" s="35">
        <v>-76.52</v>
      </c>
      <c r="J1413" s="35">
        <v>188.1</v>
      </c>
      <c r="P1413" s="54" t="s">
        <v>179</v>
      </c>
      <c r="Q1413" s="54" t="s">
        <v>1057</v>
      </c>
      <c r="R1413" s="54" t="s">
        <v>1160</v>
      </c>
      <c r="S1413" s="54" t="s">
        <v>1659</v>
      </c>
      <c r="T1413" s="54" t="s">
        <v>1659</v>
      </c>
      <c r="X1413" s="35" t="s">
        <v>168</v>
      </c>
      <c r="AB1413" s="35" t="s">
        <v>1587</v>
      </c>
      <c r="AC1413" s="35" t="s">
        <v>166</v>
      </c>
      <c r="AD1413" s="153" t="str">
        <f t="shared" si="263"/>
        <v>Rye</v>
      </c>
      <c r="AE1413" s="35" t="s">
        <v>1640</v>
      </c>
      <c r="AP1413" s="35" t="s">
        <v>1162</v>
      </c>
      <c r="AQ1413" s="35">
        <v>6</v>
      </c>
      <c r="AR1413" s="35">
        <v>6</v>
      </c>
      <c r="AS1413" s="35" t="s">
        <v>177</v>
      </c>
      <c r="AW1413" s="35" t="s">
        <v>1392</v>
      </c>
      <c r="AX1413" s="35" t="s">
        <v>1169</v>
      </c>
      <c r="DG1413" s="35">
        <v>17.45</v>
      </c>
      <c r="DH1413" s="35">
        <v>25.49</v>
      </c>
      <c r="FA1413" s="35" t="s">
        <v>1174</v>
      </c>
      <c r="FC1413" s="35">
        <v>63</v>
      </c>
    </row>
    <row r="1414" spans="1:159" s="35" customFormat="1" x14ac:dyDescent="0.25">
      <c r="A1414" s="35">
        <v>63</v>
      </c>
      <c r="B1414" s="35" t="s">
        <v>1157</v>
      </c>
      <c r="C1414" s="35" t="s">
        <v>1158</v>
      </c>
      <c r="D1414" s="35">
        <v>1993</v>
      </c>
      <c r="E1414" s="35">
        <v>1989</v>
      </c>
      <c r="F1414" s="35" t="s">
        <v>363</v>
      </c>
      <c r="G1414" s="35" t="s">
        <v>1177</v>
      </c>
      <c r="H1414" s="35">
        <v>42.44</v>
      </c>
      <c r="I1414" s="35">
        <v>-76.52</v>
      </c>
      <c r="J1414" s="35">
        <v>188.1</v>
      </c>
      <c r="P1414" s="54" t="s">
        <v>179</v>
      </c>
      <c r="Q1414" s="54" t="s">
        <v>1057</v>
      </c>
      <c r="R1414" s="54" t="s">
        <v>1160</v>
      </c>
      <c r="S1414" s="54" t="s">
        <v>1659</v>
      </c>
      <c r="T1414" s="54" t="s">
        <v>1659</v>
      </c>
      <c r="X1414" s="35" t="s">
        <v>168</v>
      </c>
      <c r="AB1414" s="35" t="s">
        <v>1587</v>
      </c>
      <c r="AC1414" s="35" t="s">
        <v>166</v>
      </c>
      <c r="AD1414" s="153" t="str">
        <f t="shared" si="263"/>
        <v>Rye</v>
      </c>
      <c r="AE1414" s="35" t="s">
        <v>1640</v>
      </c>
      <c r="AP1414" s="35" t="s">
        <v>1162</v>
      </c>
      <c r="AQ1414" s="35">
        <v>6</v>
      </c>
      <c r="AR1414" s="35">
        <v>6</v>
      </c>
      <c r="AS1414" s="35" t="s">
        <v>177</v>
      </c>
      <c r="AW1414" s="35" t="s">
        <v>1392</v>
      </c>
      <c r="AX1414" s="35" t="s">
        <v>1170</v>
      </c>
      <c r="DG1414" s="35">
        <v>25.83</v>
      </c>
      <c r="DH1414" s="35">
        <v>25.83</v>
      </c>
      <c r="FA1414" s="35" t="s">
        <v>1174</v>
      </c>
      <c r="FC1414" s="35">
        <v>63</v>
      </c>
    </row>
    <row r="1415" spans="1:159" s="35" customFormat="1" x14ac:dyDescent="0.25">
      <c r="A1415" s="35">
        <v>63</v>
      </c>
      <c r="B1415" s="35" t="s">
        <v>1157</v>
      </c>
      <c r="C1415" s="35" t="s">
        <v>1158</v>
      </c>
      <c r="D1415" s="35">
        <v>1993</v>
      </c>
      <c r="E1415" s="35">
        <v>1989</v>
      </c>
      <c r="F1415" s="35" t="s">
        <v>363</v>
      </c>
      <c r="G1415" s="35" t="s">
        <v>1177</v>
      </c>
      <c r="H1415" s="35">
        <v>42.44</v>
      </c>
      <c r="I1415" s="35">
        <v>-76.52</v>
      </c>
      <c r="J1415" s="35">
        <v>188.1</v>
      </c>
      <c r="P1415" s="54" t="s">
        <v>179</v>
      </c>
      <c r="Q1415" s="54" t="s">
        <v>1057</v>
      </c>
      <c r="R1415" s="54" t="s">
        <v>1160</v>
      </c>
      <c r="S1415" s="54" t="s">
        <v>1659</v>
      </c>
      <c r="T1415" s="54" t="s">
        <v>1659</v>
      </c>
      <c r="X1415" s="35" t="s">
        <v>168</v>
      </c>
      <c r="AB1415" s="35" t="s">
        <v>1587</v>
      </c>
      <c r="AC1415" s="35" t="s">
        <v>166</v>
      </c>
      <c r="AD1415" s="153" t="str">
        <f t="shared" si="263"/>
        <v>Rye</v>
      </c>
      <c r="AE1415" s="35" t="s">
        <v>1640</v>
      </c>
      <c r="AP1415" s="35" t="s">
        <v>1162</v>
      </c>
      <c r="AQ1415" s="35">
        <v>6</v>
      </c>
      <c r="AR1415" s="35">
        <v>6</v>
      </c>
      <c r="AS1415" s="35" t="s">
        <v>177</v>
      </c>
      <c r="AW1415" s="35" t="s">
        <v>1392</v>
      </c>
      <c r="AX1415" s="35" t="s">
        <v>1171</v>
      </c>
      <c r="DG1415" s="35">
        <v>19.38</v>
      </c>
      <c r="DH1415" s="35">
        <v>25.56</v>
      </c>
      <c r="FA1415" s="35" t="s">
        <v>1174</v>
      </c>
      <c r="FC1415" s="35">
        <v>63</v>
      </c>
    </row>
    <row r="1416" spans="1:159" s="35" customFormat="1" x14ac:dyDescent="0.25">
      <c r="A1416" s="35">
        <v>63</v>
      </c>
      <c r="B1416" s="35" t="s">
        <v>1157</v>
      </c>
      <c r="C1416" s="35" t="s">
        <v>1158</v>
      </c>
      <c r="D1416" s="35">
        <v>1993</v>
      </c>
      <c r="E1416" s="35">
        <v>1989</v>
      </c>
      <c r="F1416" s="35" t="s">
        <v>363</v>
      </c>
      <c r="G1416" s="35" t="s">
        <v>1177</v>
      </c>
      <c r="H1416" s="35">
        <v>42.44</v>
      </c>
      <c r="I1416" s="35">
        <v>-76.52</v>
      </c>
      <c r="J1416" s="35">
        <v>188.1</v>
      </c>
      <c r="P1416" s="54" t="s">
        <v>179</v>
      </c>
      <c r="Q1416" s="54" t="s">
        <v>1057</v>
      </c>
      <c r="R1416" s="54" t="s">
        <v>1160</v>
      </c>
      <c r="S1416" s="54" t="s">
        <v>1659</v>
      </c>
      <c r="T1416" s="54" t="s">
        <v>1659</v>
      </c>
      <c r="X1416" s="35" t="s">
        <v>168</v>
      </c>
      <c r="AB1416" s="35" t="s">
        <v>1587</v>
      </c>
      <c r="AC1416" s="35" t="s">
        <v>166</v>
      </c>
      <c r="AD1416" s="153" t="str">
        <f t="shared" si="263"/>
        <v>Rye</v>
      </c>
      <c r="AE1416" s="35" t="s">
        <v>1640</v>
      </c>
      <c r="AP1416" s="35" t="s">
        <v>1162</v>
      </c>
      <c r="AQ1416" s="35">
        <v>6</v>
      </c>
      <c r="AR1416" s="35">
        <v>6</v>
      </c>
      <c r="AS1416" s="35" t="s">
        <v>177</v>
      </c>
      <c r="AW1416" s="35" t="s">
        <v>1392</v>
      </c>
      <c r="AX1416" s="35" t="s">
        <v>1172</v>
      </c>
      <c r="DG1416" s="35">
        <v>16.72</v>
      </c>
      <c r="DH1416" s="35">
        <v>24.76</v>
      </c>
      <c r="FA1416" s="35" t="s">
        <v>1174</v>
      </c>
      <c r="FC1416" s="35">
        <v>63</v>
      </c>
    </row>
    <row r="1417" spans="1:159" s="35" customFormat="1" x14ac:dyDescent="0.25">
      <c r="A1417" s="35">
        <v>63</v>
      </c>
      <c r="B1417" s="35" t="s">
        <v>1157</v>
      </c>
      <c r="C1417" s="35" t="s">
        <v>1158</v>
      </c>
      <c r="D1417" s="35">
        <v>1993</v>
      </c>
      <c r="E1417" s="35">
        <v>1989</v>
      </c>
      <c r="F1417" s="35" t="s">
        <v>363</v>
      </c>
      <c r="G1417" s="35" t="s">
        <v>1177</v>
      </c>
      <c r="H1417" s="35">
        <v>42.44</v>
      </c>
      <c r="I1417" s="35">
        <v>-76.52</v>
      </c>
      <c r="J1417" s="35">
        <v>188.1</v>
      </c>
      <c r="P1417" s="54" t="s">
        <v>179</v>
      </c>
      <c r="Q1417" s="54" t="s">
        <v>1057</v>
      </c>
      <c r="R1417" s="54" t="s">
        <v>1160</v>
      </c>
      <c r="S1417" s="54" t="s">
        <v>1659</v>
      </c>
      <c r="T1417" s="54" t="s">
        <v>1659</v>
      </c>
      <c r="X1417" s="35" t="s">
        <v>168</v>
      </c>
      <c r="AB1417" s="35" t="s">
        <v>1587</v>
      </c>
      <c r="AC1417" s="35" t="s">
        <v>166</v>
      </c>
      <c r="AD1417" s="153" t="str">
        <f t="shared" si="263"/>
        <v>Rye</v>
      </c>
      <c r="AE1417" s="35" t="s">
        <v>1640</v>
      </c>
      <c r="AP1417" s="35" t="s">
        <v>1162</v>
      </c>
      <c r="AQ1417" s="35">
        <v>6</v>
      </c>
      <c r="AR1417" s="35">
        <v>6</v>
      </c>
      <c r="AS1417" s="35" t="s">
        <v>177</v>
      </c>
      <c r="AW1417" s="35" t="s">
        <v>1392</v>
      </c>
      <c r="AX1417" s="35" t="s">
        <v>1173</v>
      </c>
      <c r="DG1417" s="35">
        <v>25.65</v>
      </c>
      <c r="DH1417" s="35">
        <v>25.65</v>
      </c>
      <c r="FA1417" s="35" t="s">
        <v>1174</v>
      </c>
      <c r="FC1417" s="35">
        <v>63</v>
      </c>
    </row>
    <row r="1418" spans="1:159" s="31" customFormat="1" x14ac:dyDescent="0.25">
      <c r="A1418" s="31">
        <v>64</v>
      </c>
      <c r="B1418" s="31" t="s">
        <v>1175</v>
      </c>
      <c r="C1418" s="31" t="s">
        <v>1176</v>
      </c>
      <c r="D1418" s="31">
        <v>2005</v>
      </c>
      <c r="E1418" s="31">
        <v>2001</v>
      </c>
      <c r="F1418" s="31" t="s">
        <v>395</v>
      </c>
      <c r="G1418" s="31" t="s">
        <v>1178</v>
      </c>
      <c r="H1418" s="31">
        <f t="shared" ref="H1418:H1427" si="264">32+25/60</f>
        <v>32.416666666666664</v>
      </c>
      <c r="I1418" s="31">
        <f t="shared" ref="I1418:I1427" si="265">-85-54/90</f>
        <v>-85.6</v>
      </c>
      <c r="J1418" s="31">
        <f>(69.8+70.1+68.5+69.4+69.6)/5</f>
        <v>69.47999999999999</v>
      </c>
      <c r="P1418" s="56" t="s">
        <v>179</v>
      </c>
      <c r="Q1418" s="56"/>
      <c r="R1418" s="56"/>
      <c r="S1418" s="56" t="s">
        <v>1654</v>
      </c>
      <c r="T1418" s="56" t="s">
        <v>1654</v>
      </c>
      <c r="U1418" s="31">
        <v>1.5</v>
      </c>
      <c r="V1418" s="31">
        <f>(519+556+573+552+533)/5/1000*100</f>
        <v>54.66</v>
      </c>
      <c r="W1418" s="31">
        <f>100-V1418-(182+191+143+193+211)/5/1000*100</f>
        <v>26.940000000000005</v>
      </c>
      <c r="X1418" s="31" t="s">
        <v>175</v>
      </c>
      <c r="Y1418" s="31">
        <v>6.5</v>
      </c>
      <c r="Z1418" s="31">
        <f>(26.4+23.85+24.1+20.38+24.08)/5*1/(100*100*0.3*1.5)*100</f>
        <v>0.52804444444444432</v>
      </c>
      <c r="AB1418" s="31" t="s">
        <v>1588</v>
      </c>
      <c r="AC1418" s="31" t="s">
        <v>769</v>
      </c>
      <c r="AD1418" s="153" t="str">
        <f t="shared" si="263"/>
        <v>Mixed</v>
      </c>
      <c r="AE1418" s="31" t="s">
        <v>167</v>
      </c>
      <c r="AG1418" s="31" t="s">
        <v>1184</v>
      </c>
      <c r="AH1418" s="31" t="s">
        <v>1184</v>
      </c>
      <c r="AI1418" s="31" t="s">
        <v>230</v>
      </c>
      <c r="AJ1418" s="31" t="s">
        <v>601</v>
      </c>
      <c r="AK1418" s="31" t="s">
        <v>1180</v>
      </c>
      <c r="AL1418" s="31" t="s">
        <v>618</v>
      </c>
      <c r="AM1418" s="31" t="s">
        <v>1179</v>
      </c>
      <c r="AN1418" s="31" t="s">
        <v>1179</v>
      </c>
      <c r="AO1418" s="31" t="s">
        <v>230</v>
      </c>
      <c r="AP1418" s="31" t="s">
        <v>208</v>
      </c>
      <c r="AQ1418" s="31">
        <v>6</v>
      </c>
      <c r="AR1418" s="31">
        <v>6</v>
      </c>
      <c r="AS1418" s="31" t="s">
        <v>177</v>
      </c>
      <c r="BB1418" s="31">
        <v>9520</v>
      </c>
      <c r="BC1418" s="31">
        <v>9880</v>
      </c>
      <c r="BD1418" s="31" t="s">
        <v>167</v>
      </c>
      <c r="FC1418" s="31">
        <v>64</v>
      </c>
    </row>
    <row r="1419" spans="1:159" s="31" customFormat="1" x14ac:dyDescent="0.25">
      <c r="A1419" s="31">
        <v>64</v>
      </c>
      <c r="B1419" s="31" t="s">
        <v>1175</v>
      </c>
      <c r="C1419" s="31" t="s">
        <v>1176</v>
      </c>
      <c r="D1419" s="31">
        <v>2005</v>
      </c>
      <c r="E1419" s="31">
        <v>2001</v>
      </c>
      <c r="F1419" s="31" t="s">
        <v>395</v>
      </c>
      <c r="G1419" s="31" t="s">
        <v>1178</v>
      </c>
      <c r="H1419" s="31">
        <f t="shared" si="264"/>
        <v>32.416666666666664</v>
      </c>
      <c r="I1419" s="31">
        <f t="shared" si="265"/>
        <v>-85.6</v>
      </c>
      <c r="J1419" s="31">
        <f t="shared" ref="J1419:J1422" si="266">(69.8+70.1+68.5+69.4+69.6)/5</f>
        <v>69.47999999999999</v>
      </c>
      <c r="P1419" s="56" t="s">
        <v>179</v>
      </c>
      <c r="Q1419" s="56"/>
      <c r="R1419" s="56"/>
      <c r="S1419" s="56" t="s">
        <v>1654</v>
      </c>
      <c r="T1419" s="56" t="s">
        <v>1654</v>
      </c>
      <c r="U1419" s="31">
        <v>1.5</v>
      </c>
      <c r="V1419" s="31">
        <f t="shared" ref="V1419:V1422" si="267">(519+556+573+552+533)/5/1000*100</f>
        <v>54.66</v>
      </c>
      <c r="W1419" s="31">
        <f t="shared" ref="W1419:W1422" si="268">100-V1419-(182+191+143+193+211)/5/1000*100</f>
        <v>26.940000000000005</v>
      </c>
      <c r="X1419" s="31" t="s">
        <v>175</v>
      </c>
      <c r="Y1419" s="31">
        <v>6.5</v>
      </c>
      <c r="Z1419" s="31">
        <f t="shared" ref="Z1419:Z1422" si="269">(26.4+23.85+24.1+20.38+24.08)/5*1/(100*100*0.3*1.5)*100</f>
        <v>0.52804444444444432</v>
      </c>
      <c r="AB1419" s="31" t="s">
        <v>1588</v>
      </c>
      <c r="AC1419" s="31" t="s">
        <v>769</v>
      </c>
      <c r="AD1419" s="153" t="str">
        <f t="shared" si="263"/>
        <v>Mixed</v>
      </c>
      <c r="AE1419" s="31" t="s">
        <v>709</v>
      </c>
      <c r="AG1419" s="31" t="s">
        <v>1184</v>
      </c>
      <c r="AH1419" s="31" t="s">
        <v>1184</v>
      </c>
      <c r="AI1419" s="31" t="s">
        <v>230</v>
      </c>
      <c r="AJ1419" s="31" t="s">
        <v>601</v>
      </c>
      <c r="AK1419" s="31" t="s">
        <v>1180</v>
      </c>
      <c r="AL1419" s="31" t="s">
        <v>618</v>
      </c>
      <c r="AM1419" s="31" t="s">
        <v>1179</v>
      </c>
      <c r="AN1419" s="31" t="s">
        <v>1179</v>
      </c>
      <c r="AO1419" s="31" t="s">
        <v>230</v>
      </c>
      <c r="AP1419" s="31" t="s">
        <v>208</v>
      </c>
      <c r="AQ1419" s="31">
        <v>6</v>
      </c>
      <c r="AR1419" s="31">
        <v>6</v>
      </c>
      <c r="AS1419" s="31" t="s">
        <v>177</v>
      </c>
      <c r="BB1419" s="31">
        <v>2760</v>
      </c>
      <c r="BC1419" s="31">
        <v>3100</v>
      </c>
      <c r="BD1419" s="31" t="s">
        <v>1186</v>
      </c>
      <c r="FC1419" s="31">
        <v>64</v>
      </c>
    </row>
    <row r="1420" spans="1:159" s="31" customFormat="1" x14ac:dyDescent="0.25">
      <c r="A1420" s="31">
        <v>64</v>
      </c>
      <c r="B1420" s="31" t="s">
        <v>1175</v>
      </c>
      <c r="C1420" s="31" t="s">
        <v>1176</v>
      </c>
      <c r="D1420" s="31">
        <v>2005</v>
      </c>
      <c r="E1420" s="31">
        <v>2002</v>
      </c>
      <c r="F1420" s="31" t="s">
        <v>395</v>
      </c>
      <c r="G1420" s="31" t="s">
        <v>1178</v>
      </c>
      <c r="H1420" s="31">
        <f t="shared" si="264"/>
        <v>32.416666666666664</v>
      </c>
      <c r="I1420" s="31">
        <f t="shared" si="265"/>
        <v>-85.6</v>
      </c>
      <c r="J1420" s="31">
        <f t="shared" si="266"/>
        <v>69.47999999999999</v>
      </c>
      <c r="P1420" s="56" t="s">
        <v>180</v>
      </c>
      <c r="Q1420" s="56"/>
      <c r="R1420" s="56"/>
      <c r="S1420" s="56" t="s">
        <v>1659</v>
      </c>
      <c r="T1420" s="56" t="s">
        <v>1654</v>
      </c>
      <c r="U1420" s="31">
        <v>1.5</v>
      </c>
      <c r="V1420" s="31">
        <f t="shared" si="267"/>
        <v>54.66</v>
      </c>
      <c r="W1420" s="31">
        <f t="shared" si="268"/>
        <v>26.940000000000005</v>
      </c>
      <c r="X1420" s="31" t="s">
        <v>175</v>
      </c>
      <c r="Y1420" s="31">
        <v>6.5</v>
      </c>
      <c r="Z1420" s="31">
        <f t="shared" si="269"/>
        <v>0.52804444444444432</v>
      </c>
      <c r="AB1420" s="31" t="s">
        <v>1588</v>
      </c>
      <c r="AC1420" s="31" t="s">
        <v>769</v>
      </c>
      <c r="AD1420" s="153" t="str">
        <f t="shared" si="263"/>
        <v>Mixed</v>
      </c>
      <c r="AE1420" s="31" t="s">
        <v>709</v>
      </c>
      <c r="AG1420" s="31" t="s">
        <v>1184</v>
      </c>
      <c r="AH1420" s="31" t="s">
        <v>1184</v>
      </c>
      <c r="AI1420" s="31" t="s">
        <v>230</v>
      </c>
      <c r="AJ1420" s="31" t="s">
        <v>601</v>
      </c>
      <c r="AK1420" s="31" t="s">
        <v>1180</v>
      </c>
      <c r="AL1420" s="31" t="s">
        <v>618</v>
      </c>
      <c r="AM1420" s="31" t="s">
        <v>1179</v>
      </c>
      <c r="AN1420" s="31" t="s">
        <v>1179</v>
      </c>
      <c r="AO1420" s="31" t="s">
        <v>230</v>
      </c>
      <c r="AP1420" s="31" t="s">
        <v>208</v>
      </c>
      <c r="AQ1420" s="31">
        <v>6</v>
      </c>
      <c r="AR1420" s="31">
        <v>6</v>
      </c>
      <c r="AS1420" s="31" t="s">
        <v>177</v>
      </c>
      <c r="BB1420" s="31">
        <v>1260</v>
      </c>
      <c r="BC1420" s="31">
        <v>1610</v>
      </c>
      <c r="BD1420" s="31" t="s">
        <v>1186</v>
      </c>
      <c r="BE1420" s="31">
        <v>1.35</v>
      </c>
      <c r="BF1420" s="31">
        <v>1.39</v>
      </c>
      <c r="BH1420" s="31">
        <f>5.02*(1/(100*100*0.05*1.35))*100</f>
        <v>0.74370370370370364</v>
      </c>
      <c r="BI1420" s="31">
        <f>7.62*(1/(100*100*0.05*1.39))*100</f>
        <v>1.0964028776978418</v>
      </c>
      <c r="BJ1420" s="31" t="s">
        <v>1183</v>
      </c>
      <c r="FC1420" s="31">
        <v>64</v>
      </c>
    </row>
    <row r="1421" spans="1:159" s="31" customFormat="1" x14ac:dyDescent="0.25">
      <c r="A1421" s="31">
        <v>64</v>
      </c>
      <c r="B1421" s="31" t="s">
        <v>1175</v>
      </c>
      <c r="C1421" s="31" t="s">
        <v>1176</v>
      </c>
      <c r="D1421" s="31">
        <v>2005</v>
      </c>
      <c r="E1421" s="31">
        <v>2002</v>
      </c>
      <c r="F1421" s="31" t="s">
        <v>395</v>
      </c>
      <c r="G1421" s="31" t="s">
        <v>1178</v>
      </c>
      <c r="H1421" s="31">
        <f t="shared" si="264"/>
        <v>32.416666666666664</v>
      </c>
      <c r="I1421" s="31">
        <f t="shared" si="265"/>
        <v>-85.6</v>
      </c>
      <c r="J1421" s="31">
        <f t="shared" si="266"/>
        <v>69.47999999999999</v>
      </c>
      <c r="P1421" s="56" t="s">
        <v>180</v>
      </c>
      <c r="Q1421" s="56"/>
      <c r="R1421" s="56"/>
      <c r="S1421" s="56" t="s">
        <v>1677</v>
      </c>
      <c r="T1421" s="56" t="s">
        <v>1654</v>
      </c>
      <c r="U1421" s="31">
        <v>1.5</v>
      </c>
      <c r="V1421" s="31">
        <f t="shared" si="267"/>
        <v>54.66</v>
      </c>
      <c r="W1421" s="31">
        <f t="shared" si="268"/>
        <v>26.940000000000005</v>
      </c>
      <c r="X1421" s="31" t="s">
        <v>175</v>
      </c>
      <c r="Y1421" s="31">
        <v>6.5</v>
      </c>
      <c r="Z1421" s="31">
        <f t="shared" si="269"/>
        <v>0.52804444444444432</v>
      </c>
      <c r="AB1421" s="31" t="s">
        <v>1588</v>
      </c>
      <c r="AC1421" s="31" t="s">
        <v>769</v>
      </c>
      <c r="AD1421" s="153" t="str">
        <f t="shared" si="263"/>
        <v>Mixed</v>
      </c>
      <c r="AE1421" s="31" t="s">
        <v>167</v>
      </c>
      <c r="AG1421" s="31" t="s">
        <v>1184</v>
      </c>
      <c r="AH1421" s="31" t="s">
        <v>1184</v>
      </c>
      <c r="AI1421" s="31" t="s">
        <v>230</v>
      </c>
      <c r="AJ1421" s="31" t="s">
        <v>601</v>
      </c>
      <c r="AK1421" s="31" t="s">
        <v>1180</v>
      </c>
      <c r="AL1421" s="31" t="s">
        <v>618</v>
      </c>
      <c r="AM1421" s="31" t="s">
        <v>1179</v>
      </c>
      <c r="AN1421" s="31" t="s">
        <v>1179</v>
      </c>
      <c r="AO1421" s="31" t="s">
        <v>230</v>
      </c>
      <c r="AP1421" s="31" t="s">
        <v>208</v>
      </c>
      <c r="AQ1421" s="31">
        <v>6</v>
      </c>
      <c r="AR1421" s="31">
        <v>6</v>
      </c>
      <c r="AS1421" s="31" t="s">
        <v>177</v>
      </c>
      <c r="BB1421" s="31">
        <v>6770</v>
      </c>
      <c r="BC1421" s="31">
        <v>8720</v>
      </c>
      <c r="BD1421" s="31" t="s">
        <v>167</v>
      </c>
      <c r="BE1421" s="31">
        <v>1.57</v>
      </c>
      <c r="BF1421" s="31">
        <v>1.62</v>
      </c>
      <c r="BH1421" s="31">
        <f>9.61*(1/(100*100*0.1*1.57))*100</f>
        <v>0.61210191082802534</v>
      </c>
      <c r="BI1421" s="31">
        <f>9.42*(1/(100*100*0.1*1.62))*100</f>
        <v>0.58148148148148149</v>
      </c>
      <c r="BJ1421" s="31" t="s">
        <v>1183</v>
      </c>
      <c r="FC1421" s="31">
        <v>64</v>
      </c>
    </row>
    <row r="1422" spans="1:159" s="31" customFormat="1" x14ac:dyDescent="0.25">
      <c r="A1422" s="31">
        <v>64</v>
      </c>
      <c r="B1422" s="31" t="s">
        <v>1175</v>
      </c>
      <c r="C1422" s="31" t="s">
        <v>1176</v>
      </c>
      <c r="D1422" s="31">
        <v>2005</v>
      </c>
      <c r="E1422" s="31">
        <v>2002</v>
      </c>
      <c r="F1422" s="31" t="s">
        <v>395</v>
      </c>
      <c r="G1422" s="31" t="s">
        <v>1178</v>
      </c>
      <c r="H1422" s="31">
        <f t="shared" si="264"/>
        <v>32.416666666666664</v>
      </c>
      <c r="I1422" s="31">
        <f t="shared" si="265"/>
        <v>-85.6</v>
      </c>
      <c r="J1422" s="31">
        <f t="shared" si="266"/>
        <v>69.47999999999999</v>
      </c>
      <c r="P1422" s="56" t="s">
        <v>180</v>
      </c>
      <c r="Q1422" s="56"/>
      <c r="R1422" s="56"/>
      <c r="S1422" s="56" t="s">
        <v>1655</v>
      </c>
      <c r="T1422" s="56" t="s">
        <v>1654</v>
      </c>
      <c r="U1422" s="31">
        <v>1.5</v>
      </c>
      <c r="V1422" s="31">
        <f t="shared" si="267"/>
        <v>54.66</v>
      </c>
      <c r="W1422" s="31">
        <f t="shared" si="268"/>
        <v>26.940000000000005</v>
      </c>
      <c r="X1422" s="31" t="s">
        <v>175</v>
      </c>
      <c r="Y1422" s="31">
        <v>6.5</v>
      </c>
      <c r="Z1422" s="31">
        <f t="shared" si="269"/>
        <v>0.52804444444444432</v>
      </c>
      <c r="AB1422" s="31" t="s">
        <v>1588</v>
      </c>
      <c r="AC1422" s="31" t="s">
        <v>769</v>
      </c>
      <c r="AD1422" s="153" t="str">
        <f t="shared" si="263"/>
        <v>Mixed</v>
      </c>
      <c r="AE1422" s="31" t="s">
        <v>709</v>
      </c>
      <c r="AG1422" s="31" t="s">
        <v>1184</v>
      </c>
      <c r="AH1422" s="31" t="s">
        <v>1184</v>
      </c>
      <c r="AI1422" s="31" t="s">
        <v>230</v>
      </c>
      <c r="AJ1422" s="31" t="s">
        <v>601</v>
      </c>
      <c r="AK1422" s="31" t="s">
        <v>1180</v>
      </c>
      <c r="AL1422" s="31" t="s">
        <v>618</v>
      </c>
      <c r="AM1422" s="31" t="s">
        <v>1179</v>
      </c>
      <c r="AN1422" s="31" t="s">
        <v>1179</v>
      </c>
      <c r="AO1422" s="31" t="s">
        <v>230</v>
      </c>
      <c r="AP1422" s="31" t="s">
        <v>208</v>
      </c>
      <c r="AQ1422" s="31">
        <v>6</v>
      </c>
      <c r="AR1422" s="31">
        <v>6</v>
      </c>
      <c r="AS1422" s="31" t="s">
        <v>177</v>
      </c>
      <c r="BE1422" s="31">
        <v>1.59</v>
      </c>
      <c r="BF1422" s="31">
        <v>1.57</v>
      </c>
      <c r="BH1422" s="31">
        <f>8.77*(1/(100*100*0.15*1.59))*100</f>
        <v>0.36771488469601671</v>
      </c>
      <c r="BI1422" s="31">
        <f>9.08*(1/(100*100*0.15*1.57))*100</f>
        <v>0.38556263269639068</v>
      </c>
      <c r="BJ1422" s="31" t="s">
        <v>1183</v>
      </c>
      <c r="FC1422" s="31">
        <v>64</v>
      </c>
    </row>
    <row r="1423" spans="1:159" s="23" customFormat="1" x14ac:dyDescent="0.25">
      <c r="A1423" s="23">
        <v>64</v>
      </c>
      <c r="B1423" s="23" t="s">
        <v>1175</v>
      </c>
      <c r="C1423" s="23" t="s">
        <v>1176</v>
      </c>
      <c r="D1423" s="23">
        <v>2005</v>
      </c>
      <c r="E1423" s="23">
        <v>2001</v>
      </c>
      <c r="F1423" s="23" t="s">
        <v>395</v>
      </c>
      <c r="G1423" s="23" t="s">
        <v>1178</v>
      </c>
      <c r="H1423" s="23">
        <f t="shared" si="264"/>
        <v>32.416666666666664</v>
      </c>
      <c r="I1423" s="23">
        <f t="shared" si="265"/>
        <v>-85.6</v>
      </c>
      <c r="J1423" s="23">
        <v>69.47999999999999</v>
      </c>
      <c r="P1423" s="53" t="s">
        <v>179</v>
      </c>
      <c r="Q1423" s="53"/>
      <c r="R1423" s="53"/>
      <c r="S1423" s="53" t="s">
        <v>1654</v>
      </c>
      <c r="T1423" s="53" t="s">
        <v>1654</v>
      </c>
      <c r="U1423" s="23">
        <v>1.5</v>
      </c>
      <c r="V1423" s="23">
        <v>54.66</v>
      </c>
      <c r="W1423" s="23">
        <v>26.940000000000005</v>
      </c>
      <c r="X1423" s="23" t="s">
        <v>175</v>
      </c>
      <c r="Y1423" s="23">
        <v>6.5</v>
      </c>
      <c r="Z1423" s="23">
        <v>0.52804444444444432</v>
      </c>
      <c r="AB1423" s="23" t="s">
        <v>1588</v>
      </c>
      <c r="AC1423" s="23" t="s">
        <v>769</v>
      </c>
      <c r="AD1423" s="153" t="str">
        <f t="shared" si="263"/>
        <v>Mixed</v>
      </c>
      <c r="AE1423" s="23" t="s">
        <v>167</v>
      </c>
      <c r="AG1423" s="23" t="s">
        <v>1184</v>
      </c>
      <c r="AH1423" s="23" t="s">
        <v>1184</v>
      </c>
      <c r="AI1423" s="23" t="s">
        <v>230</v>
      </c>
      <c r="AJ1423" s="23" t="s">
        <v>601</v>
      </c>
      <c r="AK1423" s="23" t="s">
        <v>1180</v>
      </c>
      <c r="AL1423" s="23" t="s">
        <v>618</v>
      </c>
      <c r="AM1423" s="23" t="s">
        <v>1181</v>
      </c>
      <c r="AN1423" s="23" t="s">
        <v>1185</v>
      </c>
      <c r="AO1423" s="23" t="s">
        <v>230</v>
      </c>
      <c r="AP1423" s="23" t="s">
        <v>208</v>
      </c>
      <c r="AQ1423" s="23">
        <v>6</v>
      </c>
      <c r="AR1423" s="23">
        <v>6</v>
      </c>
      <c r="AS1423" s="23" t="s">
        <v>177</v>
      </c>
      <c r="BB1423" s="23">
        <v>9990</v>
      </c>
      <c r="BC1423" s="23">
        <v>10010</v>
      </c>
      <c r="BD1423" s="23" t="s">
        <v>167</v>
      </c>
      <c r="FC1423" s="23">
        <v>64</v>
      </c>
    </row>
    <row r="1424" spans="1:159" s="23" customFormat="1" x14ac:dyDescent="0.25">
      <c r="A1424" s="23">
        <v>64</v>
      </c>
      <c r="B1424" s="23" t="s">
        <v>1175</v>
      </c>
      <c r="C1424" s="23" t="s">
        <v>1176</v>
      </c>
      <c r="D1424" s="23">
        <v>2005</v>
      </c>
      <c r="E1424" s="23">
        <v>2001</v>
      </c>
      <c r="F1424" s="23" t="s">
        <v>395</v>
      </c>
      <c r="G1424" s="23" t="s">
        <v>1178</v>
      </c>
      <c r="H1424" s="23">
        <f t="shared" si="264"/>
        <v>32.416666666666664</v>
      </c>
      <c r="I1424" s="23">
        <f t="shared" si="265"/>
        <v>-85.6</v>
      </c>
      <c r="J1424" s="23">
        <v>69.47999999999999</v>
      </c>
      <c r="P1424" s="53" t="s">
        <v>179</v>
      </c>
      <c r="Q1424" s="53"/>
      <c r="R1424" s="53"/>
      <c r="S1424" s="53" t="s">
        <v>1654</v>
      </c>
      <c r="T1424" s="53" t="s">
        <v>1654</v>
      </c>
      <c r="U1424" s="23">
        <v>1.5</v>
      </c>
      <c r="V1424" s="23">
        <v>54.66</v>
      </c>
      <c r="W1424" s="23">
        <v>26.940000000000005</v>
      </c>
      <c r="X1424" s="23" t="s">
        <v>175</v>
      </c>
      <c r="Y1424" s="23">
        <v>6.5</v>
      </c>
      <c r="Z1424" s="23">
        <v>0.52804444444444432</v>
      </c>
      <c r="AB1424" s="23" t="s">
        <v>1588</v>
      </c>
      <c r="AC1424" s="23" t="s">
        <v>769</v>
      </c>
      <c r="AD1424" s="153" t="str">
        <f t="shared" si="263"/>
        <v>Mixed</v>
      </c>
      <c r="AE1424" s="23" t="s">
        <v>709</v>
      </c>
      <c r="AG1424" s="23" t="s">
        <v>1184</v>
      </c>
      <c r="AH1424" s="23" t="s">
        <v>1184</v>
      </c>
      <c r="AI1424" s="23" t="s">
        <v>230</v>
      </c>
      <c r="AJ1424" s="23" t="s">
        <v>601</v>
      </c>
      <c r="AK1424" s="23" t="s">
        <v>1180</v>
      </c>
      <c r="AL1424" s="23" t="s">
        <v>618</v>
      </c>
      <c r="AM1424" s="23" t="s">
        <v>1181</v>
      </c>
      <c r="AN1424" s="23" t="s">
        <v>1185</v>
      </c>
      <c r="AO1424" s="23" t="s">
        <v>230</v>
      </c>
      <c r="AP1424" s="23" t="s">
        <v>208</v>
      </c>
      <c r="AQ1424" s="23">
        <v>6</v>
      </c>
      <c r="AR1424" s="23">
        <v>6</v>
      </c>
      <c r="AS1424" s="23" t="s">
        <v>177</v>
      </c>
      <c r="BB1424" s="23">
        <v>2900</v>
      </c>
      <c r="BC1424" s="23">
        <v>3140</v>
      </c>
      <c r="BD1424" s="23" t="s">
        <v>709</v>
      </c>
      <c r="FC1424" s="23">
        <v>64</v>
      </c>
    </row>
    <row r="1425" spans="1:159" s="23" customFormat="1" x14ac:dyDescent="0.25">
      <c r="A1425" s="23">
        <v>64</v>
      </c>
      <c r="B1425" s="23" t="s">
        <v>1175</v>
      </c>
      <c r="C1425" s="23" t="s">
        <v>1176</v>
      </c>
      <c r="D1425" s="23">
        <v>2005</v>
      </c>
      <c r="E1425" s="23">
        <v>2002</v>
      </c>
      <c r="F1425" s="23" t="s">
        <v>395</v>
      </c>
      <c r="G1425" s="23" t="s">
        <v>1178</v>
      </c>
      <c r="H1425" s="23">
        <f t="shared" si="264"/>
        <v>32.416666666666664</v>
      </c>
      <c r="I1425" s="23">
        <f t="shared" si="265"/>
        <v>-85.6</v>
      </c>
      <c r="J1425" s="23">
        <v>69.47999999999999</v>
      </c>
      <c r="P1425" s="53" t="s">
        <v>180</v>
      </c>
      <c r="Q1425" s="53"/>
      <c r="R1425" s="53"/>
      <c r="S1425" s="53" t="s">
        <v>1659</v>
      </c>
      <c r="T1425" s="53" t="s">
        <v>1654</v>
      </c>
      <c r="U1425" s="23">
        <v>1.5</v>
      </c>
      <c r="V1425" s="23">
        <v>54.66</v>
      </c>
      <c r="W1425" s="23">
        <v>26.940000000000005</v>
      </c>
      <c r="X1425" s="23" t="s">
        <v>175</v>
      </c>
      <c r="Y1425" s="23">
        <v>6.5</v>
      </c>
      <c r="Z1425" s="23">
        <v>0.52804444444444432</v>
      </c>
      <c r="AB1425" s="23" t="s">
        <v>1588</v>
      </c>
      <c r="AC1425" s="23" t="s">
        <v>769</v>
      </c>
      <c r="AD1425" s="153" t="str">
        <f t="shared" si="263"/>
        <v>Mixed</v>
      </c>
      <c r="AE1425" s="23" t="s">
        <v>709</v>
      </c>
      <c r="AG1425" s="23" t="s">
        <v>1184</v>
      </c>
      <c r="AH1425" s="23" t="s">
        <v>1184</v>
      </c>
      <c r="AI1425" s="23" t="s">
        <v>230</v>
      </c>
      <c r="AJ1425" s="23" t="s">
        <v>601</v>
      </c>
      <c r="AK1425" s="23" t="s">
        <v>1180</v>
      </c>
      <c r="AL1425" s="23" t="s">
        <v>618</v>
      </c>
      <c r="AM1425" s="23" t="s">
        <v>1181</v>
      </c>
      <c r="AN1425" s="23" t="s">
        <v>1185</v>
      </c>
      <c r="AO1425" s="23" t="s">
        <v>230</v>
      </c>
      <c r="AP1425" s="23" t="s">
        <v>208</v>
      </c>
      <c r="AQ1425" s="23">
        <v>6</v>
      </c>
      <c r="AR1425" s="23">
        <v>6</v>
      </c>
      <c r="AS1425" s="23" t="s">
        <v>177</v>
      </c>
      <c r="BB1425" s="23">
        <v>1350</v>
      </c>
      <c r="BC1425" s="23">
        <v>1630</v>
      </c>
      <c r="BD1425" s="23" t="s">
        <v>709</v>
      </c>
      <c r="BE1425" s="23">
        <v>1.28</v>
      </c>
      <c r="BF1425" s="23">
        <v>1.3</v>
      </c>
      <c r="BH1425" s="23">
        <f>7.32*(1/(100*100*0.05*1.28))*100</f>
        <v>1.14375</v>
      </c>
      <c r="BI1425" s="23">
        <f>12.91*(1/(100*100*0.05*1.3))*100</f>
        <v>1.9861538461538462</v>
      </c>
      <c r="BJ1425" s="23" t="s">
        <v>1183</v>
      </c>
      <c r="FC1425" s="23">
        <v>64</v>
      </c>
    </row>
    <row r="1426" spans="1:159" s="23" customFormat="1" x14ac:dyDescent="0.25">
      <c r="A1426" s="23">
        <v>64</v>
      </c>
      <c r="B1426" s="23" t="s">
        <v>1175</v>
      </c>
      <c r="C1426" s="23" t="s">
        <v>1176</v>
      </c>
      <c r="D1426" s="23">
        <v>2005</v>
      </c>
      <c r="E1426" s="23">
        <v>2002</v>
      </c>
      <c r="F1426" s="23" t="s">
        <v>395</v>
      </c>
      <c r="G1426" s="23" t="s">
        <v>1178</v>
      </c>
      <c r="H1426" s="23">
        <f t="shared" si="264"/>
        <v>32.416666666666664</v>
      </c>
      <c r="I1426" s="23">
        <f t="shared" si="265"/>
        <v>-85.6</v>
      </c>
      <c r="J1426" s="23">
        <v>69.47999999999999</v>
      </c>
      <c r="P1426" s="53" t="s">
        <v>180</v>
      </c>
      <c r="Q1426" s="53"/>
      <c r="R1426" s="53"/>
      <c r="S1426" s="53" t="s">
        <v>1677</v>
      </c>
      <c r="T1426" s="53" t="s">
        <v>1654</v>
      </c>
      <c r="U1426" s="23">
        <v>1.5</v>
      </c>
      <c r="V1426" s="23">
        <v>54.66</v>
      </c>
      <c r="W1426" s="23">
        <v>26.940000000000005</v>
      </c>
      <c r="X1426" s="23" t="s">
        <v>175</v>
      </c>
      <c r="Y1426" s="23">
        <v>6.5</v>
      </c>
      <c r="Z1426" s="23">
        <v>0.52804444444444432</v>
      </c>
      <c r="AB1426" s="23" t="s">
        <v>1588</v>
      </c>
      <c r="AC1426" s="23" t="s">
        <v>769</v>
      </c>
      <c r="AD1426" s="153" t="str">
        <f t="shared" si="263"/>
        <v>Mixed</v>
      </c>
      <c r="AE1426" s="23" t="s">
        <v>167</v>
      </c>
      <c r="AG1426" s="23" t="s">
        <v>1184</v>
      </c>
      <c r="AH1426" s="23" t="s">
        <v>1184</v>
      </c>
      <c r="AI1426" s="23" t="s">
        <v>230</v>
      </c>
      <c r="AJ1426" s="23" t="s">
        <v>601</v>
      </c>
      <c r="AK1426" s="23" t="s">
        <v>1180</v>
      </c>
      <c r="AL1426" s="23" t="s">
        <v>618</v>
      </c>
      <c r="AM1426" s="23" t="s">
        <v>1181</v>
      </c>
      <c r="AN1426" s="23" t="s">
        <v>1185</v>
      </c>
      <c r="AO1426" s="23" t="s">
        <v>230</v>
      </c>
      <c r="AP1426" s="23" t="s">
        <v>208</v>
      </c>
      <c r="AQ1426" s="23">
        <v>6</v>
      </c>
      <c r="AR1426" s="23">
        <v>6</v>
      </c>
      <c r="AS1426" s="23" t="s">
        <v>177</v>
      </c>
      <c r="BB1426" s="23">
        <v>6640</v>
      </c>
      <c r="BC1426" s="23">
        <v>9040</v>
      </c>
      <c r="BD1426" s="23" t="s">
        <v>167</v>
      </c>
      <c r="BE1426" s="23">
        <v>1.52</v>
      </c>
      <c r="BF1426" s="23">
        <v>1.62</v>
      </c>
      <c r="BH1426" s="23">
        <f>11.78*(1/(100*100*0.1*1.52))*100</f>
        <v>0.77499999999999991</v>
      </c>
      <c r="BI1426" s="23">
        <f>9.74*(1/(100*100*0.1*1.62))*100</f>
        <v>0.60123456790123464</v>
      </c>
      <c r="BJ1426" s="23" t="s">
        <v>1183</v>
      </c>
      <c r="FC1426" s="23">
        <v>64</v>
      </c>
    </row>
    <row r="1427" spans="1:159" s="23" customFormat="1" x14ac:dyDescent="0.25">
      <c r="A1427" s="23">
        <v>64</v>
      </c>
      <c r="B1427" s="23" t="s">
        <v>1175</v>
      </c>
      <c r="C1427" s="23" t="s">
        <v>1176</v>
      </c>
      <c r="D1427" s="23">
        <v>2005</v>
      </c>
      <c r="E1427" s="23">
        <v>2002</v>
      </c>
      <c r="F1427" s="23" t="s">
        <v>395</v>
      </c>
      <c r="G1427" s="23" t="s">
        <v>1178</v>
      </c>
      <c r="H1427" s="23">
        <f t="shared" si="264"/>
        <v>32.416666666666664</v>
      </c>
      <c r="I1427" s="23">
        <f t="shared" si="265"/>
        <v>-85.6</v>
      </c>
      <c r="J1427" s="23">
        <v>69.47999999999999</v>
      </c>
      <c r="P1427" s="53" t="s">
        <v>180</v>
      </c>
      <c r="Q1427" s="53"/>
      <c r="R1427" s="53"/>
      <c r="S1427" s="53" t="s">
        <v>1655</v>
      </c>
      <c r="T1427" s="53" t="s">
        <v>1654</v>
      </c>
      <c r="U1427" s="23">
        <v>1.5</v>
      </c>
      <c r="V1427" s="23">
        <v>54.66</v>
      </c>
      <c r="W1427" s="23">
        <v>26.940000000000005</v>
      </c>
      <c r="X1427" s="23" t="s">
        <v>175</v>
      </c>
      <c r="Y1427" s="23">
        <v>6.5</v>
      </c>
      <c r="Z1427" s="23">
        <v>0.52804444444444432</v>
      </c>
      <c r="AB1427" s="23" t="s">
        <v>1588</v>
      </c>
      <c r="AC1427" s="23" t="s">
        <v>769</v>
      </c>
      <c r="AD1427" s="153" t="str">
        <f t="shared" si="263"/>
        <v>Mixed</v>
      </c>
      <c r="AE1427" s="23" t="s">
        <v>709</v>
      </c>
      <c r="AG1427" s="23" t="s">
        <v>1184</v>
      </c>
      <c r="AH1427" s="23" t="s">
        <v>1184</v>
      </c>
      <c r="AI1427" s="23" t="s">
        <v>230</v>
      </c>
      <c r="AJ1427" s="23" t="s">
        <v>601</v>
      </c>
      <c r="AK1427" s="23" t="s">
        <v>1180</v>
      </c>
      <c r="AL1427" s="23" t="s">
        <v>618</v>
      </c>
      <c r="AM1427" s="23" t="s">
        <v>1181</v>
      </c>
      <c r="AN1427" s="23" t="s">
        <v>1185</v>
      </c>
      <c r="AO1427" s="23" t="s">
        <v>230</v>
      </c>
      <c r="AP1427" s="23" t="s">
        <v>208</v>
      </c>
      <c r="AQ1427" s="23">
        <v>6</v>
      </c>
      <c r="AR1427" s="23">
        <v>6</v>
      </c>
      <c r="AS1427" s="23" t="s">
        <v>177</v>
      </c>
      <c r="BE1427" s="23">
        <v>1.6</v>
      </c>
      <c r="BF1427" s="23">
        <v>1.59</v>
      </c>
      <c r="BH1427" s="23">
        <f>9.9*(1/(100*100*0.15*1.6))*100</f>
        <v>0.41250000000000003</v>
      </c>
      <c r="BI1427" s="23">
        <f>9.93*(1/(100*100*0.15*1.59))*100</f>
        <v>0.41635220125786165</v>
      </c>
      <c r="BJ1427" s="23" t="s">
        <v>1183</v>
      </c>
      <c r="FC1427" s="23">
        <v>64</v>
      </c>
    </row>
    <row r="1428" spans="1:159" s="26" customFormat="1" x14ac:dyDescent="0.25">
      <c r="A1428" s="26">
        <v>65</v>
      </c>
      <c r="B1428" s="26" t="s">
        <v>1190</v>
      </c>
      <c r="C1428" s="26" t="s">
        <v>1189</v>
      </c>
      <c r="D1428" s="26">
        <v>1998</v>
      </c>
      <c r="E1428" s="26">
        <v>1992</v>
      </c>
      <c r="F1428" s="26" t="s">
        <v>1188</v>
      </c>
      <c r="G1428" s="26" t="s">
        <v>1191</v>
      </c>
      <c r="H1428" s="26">
        <v>45.28</v>
      </c>
      <c r="I1428" s="26">
        <v>-122.75</v>
      </c>
      <c r="J1428" s="26">
        <v>48</v>
      </c>
      <c r="P1428" s="52" t="s">
        <v>179</v>
      </c>
      <c r="Q1428" s="52" t="s">
        <v>1057</v>
      </c>
      <c r="R1428" s="52" t="s">
        <v>1075</v>
      </c>
      <c r="S1428" s="52" t="s">
        <v>1678</v>
      </c>
      <c r="T1428" s="52" t="s">
        <v>1682</v>
      </c>
      <c r="AC1428" s="26" t="s">
        <v>166</v>
      </c>
      <c r="AD1428" s="153" t="str">
        <f t="shared" si="263"/>
        <v>Rye</v>
      </c>
      <c r="AE1428" s="26" t="s">
        <v>1640</v>
      </c>
      <c r="AP1428" s="26" t="s">
        <v>154</v>
      </c>
      <c r="DA1428" s="26">
        <v>16.93</v>
      </c>
      <c r="DB1428" s="26">
        <v>20.77</v>
      </c>
      <c r="DC1428" s="26" t="s">
        <v>1202</v>
      </c>
      <c r="FC1428" s="26">
        <v>65</v>
      </c>
    </row>
    <row r="1429" spans="1:159" s="26" customFormat="1" x14ac:dyDescent="0.25">
      <c r="A1429" s="26">
        <v>65</v>
      </c>
      <c r="B1429" s="26" t="s">
        <v>1190</v>
      </c>
      <c r="C1429" s="26" t="s">
        <v>1189</v>
      </c>
      <c r="D1429" s="26">
        <v>1998</v>
      </c>
      <c r="E1429" s="26">
        <v>1992</v>
      </c>
      <c r="F1429" s="26" t="s">
        <v>1188</v>
      </c>
      <c r="G1429" s="26" t="s">
        <v>1191</v>
      </c>
      <c r="H1429" s="26">
        <v>45.28</v>
      </c>
      <c r="I1429" s="26">
        <v>-122.75</v>
      </c>
      <c r="J1429" s="26">
        <v>48</v>
      </c>
      <c r="P1429" s="52" t="s">
        <v>179</v>
      </c>
      <c r="Q1429" s="52" t="s">
        <v>1057</v>
      </c>
      <c r="R1429" s="52" t="s">
        <v>1198</v>
      </c>
      <c r="S1429" s="52" t="s">
        <v>1678</v>
      </c>
      <c r="T1429" s="52" t="s">
        <v>1682</v>
      </c>
      <c r="AC1429" s="26" t="s">
        <v>166</v>
      </c>
      <c r="AD1429" s="153" t="str">
        <f t="shared" si="263"/>
        <v>Rye</v>
      </c>
      <c r="AE1429" s="26" t="s">
        <v>1640</v>
      </c>
      <c r="AP1429" s="26" t="s">
        <v>154</v>
      </c>
      <c r="DA1429" s="26">
        <v>12.72</v>
      </c>
      <c r="DB1429" s="26">
        <v>8.36</v>
      </c>
      <c r="DC1429" s="26" t="s">
        <v>1202</v>
      </c>
      <c r="FC1429" s="26">
        <v>65</v>
      </c>
    </row>
    <row r="1430" spans="1:159" s="26" customFormat="1" x14ac:dyDescent="0.25">
      <c r="A1430" s="26">
        <v>65</v>
      </c>
      <c r="B1430" s="26" t="s">
        <v>1190</v>
      </c>
      <c r="C1430" s="26" t="s">
        <v>1189</v>
      </c>
      <c r="D1430" s="26">
        <v>1998</v>
      </c>
      <c r="E1430" s="26">
        <v>1992</v>
      </c>
      <c r="F1430" s="26" t="s">
        <v>1188</v>
      </c>
      <c r="G1430" s="26" t="s">
        <v>1191</v>
      </c>
      <c r="H1430" s="26">
        <v>45.28</v>
      </c>
      <c r="I1430" s="26">
        <v>-122.75</v>
      </c>
      <c r="J1430" s="26">
        <v>48</v>
      </c>
      <c r="P1430" s="52" t="s">
        <v>179</v>
      </c>
      <c r="Q1430" s="52" t="s">
        <v>1057</v>
      </c>
      <c r="R1430" s="52" t="s">
        <v>1076</v>
      </c>
      <c r="S1430" s="52" t="s">
        <v>1678</v>
      </c>
      <c r="T1430" s="52" t="s">
        <v>1682</v>
      </c>
      <c r="AC1430" s="26" t="s">
        <v>166</v>
      </c>
      <c r="AD1430" s="153" t="str">
        <f t="shared" si="263"/>
        <v>Rye</v>
      </c>
      <c r="AE1430" s="26" t="s">
        <v>1640</v>
      </c>
      <c r="AP1430" s="26" t="s">
        <v>154</v>
      </c>
      <c r="DA1430" s="26">
        <v>12.5</v>
      </c>
      <c r="DB1430" s="26">
        <v>10.35</v>
      </c>
      <c r="DC1430" s="26" t="s">
        <v>1202</v>
      </c>
      <c r="FC1430" s="26">
        <v>65</v>
      </c>
    </row>
    <row r="1431" spans="1:159" s="35" customFormat="1" x14ac:dyDescent="0.25">
      <c r="A1431" s="35">
        <v>65</v>
      </c>
      <c r="B1431" s="35" t="s">
        <v>1190</v>
      </c>
      <c r="C1431" s="35" t="s">
        <v>1189</v>
      </c>
      <c r="D1431" s="35">
        <v>1998</v>
      </c>
      <c r="E1431" s="35">
        <v>1993</v>
      </c>
      <c r="F1431" s="35" t="s">
        <v>1188</v>
      </c>
      <c r="G1431" s="35" t="s">
        <v>1191</v>
      </c>
      <c r="H1431" s="35">
        <v>45.28</v>
      </c>
      <c r="I1431" s="35">
        <v>-122.75</v>
      </c>
      <c r="J1431" s="35">
        <v>48</v>
      </c>
      <c r="P1431" s="54" t="s">
        <v>180</v>
      </c>
      <c r="Q1431" s="54" t="s">
        <v>1057</v>
      </c>
      <c r="R1431" s="54" t="s">
        <v>1077</v>
      </c>
      <c r="S1431" s="54" t="s">
        <v>1678</v>
      </c>
      <c r="T1431" s="54" t="s">
        <v>1682</v>
      </c>
      <c r="AC1431" s="35" t="s">
        <v>166</v>
      </c>
      <c r="AD1431" s="153" t="str">
        <f t="shared" si="263"/>
        <v>Rye</v>
      </c>
      <c r="AE1431" s="35" t="s">
        <v>1640</v>
      </c>
      <c r="AP1431" s="35" t="s">
        <v>154</v>
      </c>
      <c r="DA1431" s="35">
        <v>13.26</v>
      </c>
      <c r="DB1431" s="35">
        <v>8.43</v>
      </c>
      <c r="DC1431" s="35" t="s">
        <v>1202</v>
      </c>
      <c r="FC1431" s="35">
        <v>65</v>
      </c>
    </row>
    <row r="1432" spans="1:159" s="35" customFormat="1" x14ac:dyDescent="0.25">
      <c r="A1432" s="35">
        <v>65</v>
      </c>
      <c r="B1432" s="35" t="s">
        <v>1190</v>
      </c>
      <c r="C1432" s="35" t="s">
        <v>1189</v>
      </c>
      <c r="D1432" s="35">
        <v>1998</v>
      </c>
      <c r="E1432" s="35">
        <v>1993</v>
      </c>
      <c r="F1432" s="35" t="s">
        <v>1188</v>
      </c>
      <c r="G1432" s="35" t="s">
        <v>1191</v>
      </c>
      <c r="H1432" s="35">
        <v>45.28</v>
      </c>
      <c r="I1432" s="35">
        <v>-122.75</v>
      </c>
      <c r="J1432" s="35">
        <v>48</v>
      </c>
      <c r="P1432" s="54" t="s">
        <v>180</v>
      </c>
      <c r="Q1432" s="54" t="s">
        <v>1057</v>
      </c>
      <c r="R1432" s="54" t="s">
        <v>1199</v>
      </c>
      <c r="S1432" s="54" t="s">
        <v>1678</v>
      </c>
      <c r="T1432" s="54" t="s">
        <v>1682</v>
      </c>
      <c r="AC1432" s="35" t="s">
        <v>166</v>
      </c>
      <c r="AD1432" s="153" t="str">
        <f t="shared" si="263"/>
        <v>Rye</v>
      </c>
      <c r="AE1432" s="35" t="s">
        <v>1640</v>
      </c>
      <c r="AP1432" s="35" t="s">
        <v>154</v>
      </c>
      <c r="DA1432" s="35">
        <v>15.18</v>
      </c>
      <c r="DB1432" s="35">
        <v>8.36</v>
      </c>
      <c r="DC1432" s="35" t="s">
        <v>1202</v>
      </c>
      <c r="FC1432" s="35">
        <v>65</v>
      </c>
    </row>
    <row r="1433" spans="1:159" s="35" customFormat="1" x14ac:dyDescent="0.25">
      <c r="A1433" s="35">
        <v>65</v>
      </c>
      <c r="B1433" s="35" t="s">
        <v>1190</v>
      </c>
      <c r="C1433" s="35" t="s">
        <v>1189</v>
      </c>
      <c r="D1433" s="35">
        <v>1998</v>
      </c>
      <c r="E1433" s="35">
        <v>1993</v>
      </c>
      <c r="F1433" s="35" t="s">
        <v>1188</v>
      </c>
      <c r="G1433" s="35" t="s">
        <v>1191</v>
      </c>
      <c r="H1433" s="35">
        <v>45.28</v>
      </c>
      <c r="I1433" s="35">
        <v>-122.75</v>
      </c>
      <c r="J1433" s="35">
        <v>48</v>
      </c>
      <c r="P1433" s="54" t="s">
        <v>180</v>
      </c>
      <c r="Q1433" s="54" t="s">
        <v>1057</v>
      </c>
      <c r="R1433" s="54" t="s">
        <v>1200</v>
      </c>
      <c r="S1433" s="54" t="s">
        <v>1678</v>
      </c>
      <c r="T1433" s="54" t="s">
        <v>1682</v>
      </c>
      <c r="AC1433" s="35" t="s">
        <v>166</v>
      </c>
      <c r="AD1433" s="153" t="str">
        <f t="shared" si="263"/>
        <v>Rye</v>
      </c>
      <c r="AE1433" s="35" t="s">
        <v>1640</v>
      </c>
      <c r="AP1433" s="35" t="s">
        <v>154</v>
      </c>
      <c r="DA1433" s="35">
        <v>12.88</v>
      </c>
      <c r="DB1433" s="35">
        <v>7.21</v>
      </c>
      <c r="DC1433" s="35" t="s">
        <v>1202</v>
      </c>
      <c r="FC1433" s="35">
        <v>65</v>
      </c>
    </row>
    <row r="1434" spans="1:159" s="35" customFormat="1" x14ac:dyDescent="0.25">
      <c r="A1434" s="35">
        <v>65</v>
      </c>
      <c r="B1434" s="35" t="s">
        <v>1190</v>
      </c>
      <c r="C1434" s="35" t="s">
        <v>1189</v>
      </c>
      <c r="D1434" s="35">
        <v>1998</v>
      </c>
      <c r="E1434" s="35">
        <v>1993</v>
      </c>
      <c r="F1434" s="35" t="s">
        <v>1188</v>
      </c>
      <c r="G1434" s="35" t="s">
        <v>1191</v>
      </c>
      <c r="H1434" s="35">
        <v>45.28</v>
      </c>
      <c r="I1434" s="35">
        <v>-122.75</v>
      </c>
      <c r="J1434" s="35">
        <v>48</v>
      </c>
      <c r="P1434" s="54" t="s">
        <v>180</v>
      </c>
      <c r="Q1434" s="54" t="s">
        <v>1057</v>
      </c>
      <c r="R1434" s="54" t="s">
        <v>928</v>
      </c>
      <c r="S1434" s="54" t="s">
        <v>1678</v>
      </c>
      <c r="T1434" s="54" t="s">
        <v>1682</v>
      </c>
      <c r="AC1434" s="35" t="s">
        <v>166</v>
      </c>
      <c r="AD1434" s="153" t="str">
        <f t="shared" si="263"/>
        <v>Rye</v>
      </c>
      <c r="AE1434" s="35" t="s">
        <v>1640</v>
      </c>
      <c r="AP1434" s="35" t="s">
        <v>154</v>
      </c>
      <c r="DA1434" s="35">
        <v>12.19</v>
      </c>
      <c r="DB1434" s="35">
        <v>3.92</v>
      </c>
      <c r="DC1434" s="35" t="s">
        <v>1202</v>
      </c>
      <c r="FC1434" s="35">
        <v>65</v>
      </c>
    </row>
    <row r="1435" spans="1:159" s="35" customFormat="1" x14ac:dyDescent="0.25">
      <c r="A1435" s="35">
        <v>65</v>
      </c>
      <c r="B1435" s="35" t="s">
        <v>1190</v>
      </c>
      <c r="C1435" s="35" t="s">
        <v>1189</v>
      </c>
      <c r="D1435" s="35">
        <v>1998</v>
      </c>
      <c r="E1435" s="35">
        <v>1993</v>
      </c>
      <c r="F1435" s="35" t="s">
        <v>1188</v>
      </c>
      <c r="G1435" s="35" t="s">
        <v>1191</v>
      </c>
      <c r="H1435" s="35">
        <v>45.28</v>
      </c>
      <c r="I1435" s="35">
        <v>-122.75</v>
      </c>
      <c r="J1435" s="35">
        <v>48</v>
      </c>
      <c r="P1435" s="54" t="s">
        <v>180</v>
      </c>
      <c r="Q1435" s="54" t="s">
        <v>1057</v>
      </c>
      <c r="R1435" s="54" t="s">
        <v>257</v>
      </c>
      <c r="S1435" s="54" t="s">
        <v>1678</v>
      </c>
      <c r="T1435" s="54" t="s">
        <v>1682</v>
      </c>
      <c r="AC1435" s="35" t="s">
        <v>166</v>
      </c>
      <c r="AD1435" s="153" t="str">
        <f t="shared" si="263"/>
        <v>Rye</v>
      </c>
      <c r="AE1435" s="35" t="s">
        <v>1640</v>
      </c>
      <c r="AP1435" s="35" t="s">
        <v>154</v>
      </c>
      <c r="DA1435" s="35">
        <v>14.42</v>
      </c>
      <c r="DB1435" s="35">
        <v>5.91</v>
      </c>
      <c r="DC1435" s="35" t="s">
        <v>1202</v>
      </c>
      <c r="FC1435" s="35">
        <v>65</v>
      </c>
    </row>
    <row r="1436" spans="1:159" s="35" customFormat="1" x14ac:dyDescent="0.25">
      <c r="A1436" s="35">
        <v>65</v>
      </c>
      <c r="B1436" s="35" t="s">
        <v>1190</v>
      </c>
      <c r="C1436" s="35" t="s">
        <v>1189</v>
      </c>
      <c r="D1436" s="35">
        <v>1998</v>
      </c>
      <c r="E1436" s="35">
        <v>1993</v>
      </c>
      <c r="F1436" s="35" t="s">
        <v>1188</v>
      </c>
      <c r="G1436" s="35" t="s">
        <v>1191</v>
      </c>
      <c r="H1436" s="35">
        <v>45.28</v>
      </c>
      <c r="I1436" s="35">
        <v>-122.75</v>
      </c>
      <c r="J1436" s="35">
        <v>48</v>
      </c>
      <c r="P1436" s="54" t="s">
        <v>180</v>
      </c>
      <c r="Q1436" s="54" t="s">
        <v>1057</v>
      </c>
      <c r="R1436" s="54" t="s">
        <v>722</v>
      </c>
      <c r="S1436" s="54" t="s">
        <v>1678</v>
      </c>
      <c r="T1436" s="54" t="s">
        <v>1682</v>
      </c>
      <c r="AC1436" s="35" t="s">
        <v>166</v>
      </c>
      <c r="AD1436" s="153" t="str">
        <f t="shared" si="263"/>
        <v>Rye</v>
      </c>
      <c r="AE1436" s="35" t="s">
        <v>1640</v>
      </c>
      <c r="AP1436" s="35" t="s">
        <v>154</v>
      </c>
      <c r="DA1436" s="35">
        <v>15.18</v>
      </c>
      <c r="DB1436" s="35">
        <v>5.37</v>
      </c>
      <c r="DC1436" s="35" t="s">
        <v>1202</v>
      </c>
      <c r="FC1436" s="35">
        <v>65</v>
      </c>
    </row>
    <row r="1437" spans="1:159" s="35" customFormat="1" x14ac:dyDescent="0.25">
      <c r="A1437" s="35">
        <v>65</v>
      </c>
      <c r="B1437" s="35" t="s">
        <v>1190</v>
      </c>
      <c r="C1437" s="35" t="s">
        <v>1189</v>
      </c>
      <c r="D1437" s="35">
        <v>1998</v>
      </c>
      <c r="E1437" s="35">
        <v>1993</v>
      </c>
      <c r="F1437" s="35" t="s">
        <v>1188</v>
      </c>
      <c r="G1437" s="35" t="s">
        <v>1191</v>
      </c>
      <c r="H1437" s="35">
        <v>45.28</v>
      </c>
      <c r="I1437" s="35">
        <v>-122.75</v>
      </c>
      <c r="J1437" s="35">
        <v>48</v>
      </c>
      <c r="P1437" s="54" t="s">
        <v>180</v>
      </c>
      <c r="Q1437" s="54" t="s">
        <v>1057</v>
      </c>
      <c r="R1437" s="54" t="s">
        <v>284</v>
      </c>
      <c r="S1437" s="54" t="s">
        <v>1678</v>
      </c>
      <c r="T1437" s="54" t="s">
        <v>1682</v>
      </c>
      <c r="AC1437" s="35" t="s">
        <v>166</v>
      </c>
      <c r="AD1437" s="153" t="str">
        <f t="shared" si="263"/>
        <v>Rye</v>
      </c>
      <c r="AE1437" s="35" t="s">
        <v>1640</v>
      </c>
      <c r="AP1437" s="35" t="s">
        <v>154</v>
      </c>
      <c r="DA1437" s="35">
        <v>15.26</v>
      </c>
      <c r="DB1437" s="35">
        <v>6.75</v>
      </c>
      <c r="DC1437" s="35" t="s">
        <v>1202</v>
      </c>
      <c r="FC1437" s="35">
        <v>65</v>
      </c>
    </row>
    <row r="1438" spans="1:159" s="35" customFormat="1" x14ac:dyDescent="0.25">
      <c r="A1438" s="35">
        <v>65</v>
      </c>
      <c r="B1438" s="35" t="s">
        <v>1190</v>
      </c>
      <c r="C1438" s="35" t="s">
        <v>1189</v>
      </c>
      <c r="D1438" s="35">
        <v>1998</v>
      </c>
      <c r="E1438" s="35">
        <v>1993</v>
      </c>
      <c r="F1438" s="35" t="s">
        <v>1188</v>
      </c>
      <c r="G1438" s="35" t="s">
        <v>1191</v>
      </c>
      <c r="H1438" s="35">
        <v>45.28</v>
      </c>
      <c r="I1438" s="35">
        <v>-122.75</v>
      </c>
      <c r="J1438" s="35">
        <v>48</v>
      </c>
      <c r="P1438" s="54" t="s">
        <v>180</v>
      </c>
      <c r="Q1438" s="54" t="s">
        <v>1057</v>
      </c>
      <c r="R1438" s="54" t="s">
        <v>1081</v>
      </c>
      <c r="S1438" s="54" t="s">
        <v>1678</v>
      </c>
      <c r="T1438" s="54" t="s">
        <v>1682</v>
      </c>
      <c r="AC1438" s="35" t="s">
        <v>166</v>
      </c>
      <c r="AD1438" s="153" t="str">
        <f t="shared" si="263"/>
        <v>Rye</v>
      </c>
      <c r="AE1438" s="35" t="s">
        <v>1640</v>
      </c>
      <c r="AP1438" s="35" t="s">
        <v>154</v>
      </c>
      <c r="DA1438" s="35">
        <v>13.35</v>
      </c>
      <c r="DB1438" s="35">
        <v>5.84</v>
      </c>
      <c r="DC1438" s="35" t="s">
        <v>1202</v>
      </c>
      <c r="FC1438" s="35">
        <v>65</v>
      </c>
    </row>
    <row r="1439" spans="1:159" s="35" customFormat="1" x14ac:dyDescent="0.25">
      <c r="A1439" s="35">
        <v>65</v>
      </c>
      <c r="B1439" s="35" t="s">
        <v>1190</v>
      </c>
      <c r="C1439" s="35" t="s">
        <v>1189</v>
      </c>
      <c r="D1439" s="35">
        <v>1998</v>
      </c>
      <c r="E1439" s="35">
        <v>1993</v>
      </c>
      <c r="F1439" s="35" t="s">
        <v>1188</v>
      </c>
      <c r="G1439" s="35" t="s">
        <v>1191</v>
      </c>
      <c r="H1439" s="35">
        <v>45.28</v>
      </c>
      <c r="I1439" s="35">
        <v>-122.75</v>
      </c>
      <c r="J1439" s="35">
        <v>48</v>
      </c>
      <c r="P1439" s="54" t="s">
        <v>180</v>
      </c>
      <c r="Q1439" s="54" t="s">
        <v>1057</v>
      </c>
      <c r="R1439" s="54" t="s">
        <v>1079</v>
      </c>
      <c r="S1439" s="54" t="s">
        <v>1678</v>
      </c>
      <c r="T1439" s="54" t="s">
        <v>1682</v>
      </c>
      <c r="AC1439" s="35" t="s">
        <v>166</v>
      </c>
      <c r="AD1439" s="153" t="str">
        <f t="shared" si="263"/>
        <v>Rye</v>
      </c>
      <c r="AE1439" s="35" t="s">
        <v>1640</v>
      </c>
      <c r="AP1439" s="35" t="s">
        <v>154</v>
      </c>
      <c r="DA1439" s="35">
        <v>18.100000000000001</v>
      </c>
      <c r="DB1439" s="35">
        <v>8.14</v>
      </c>
      <c r="DC1439" s="35" t="s">
        <v>1202</v>
      </c>
      <c r="FC1439" s="35">
        <v>65</v>
      </c>
    </row>
    <row r="1440" spans="1:159" s="35" customFormat="1" x14ac:dyDescent="0.25">
      <c r="A1440" s="35">
        <v>65</v>
      </c>
      <c r="B1440" s="35" t="s">
        <v>1190</v>
      </c>
      <c r="C1440" s="35" t="s">
        <v>1189</v>
      </c>
      <c r="D1440" s="35">
        <v>1998</v>
      </c>
      <c r="E1440" s="35">
        <v>1993</v>
      </c>
      <c r="F1440" s="35" t="s">
        <v>1188</v>
      </c>
      <c r="G1440" s="35" t="s">
        <v>1191</v>
      </c>
      <c r="H1440" s="35">
        <v>45.28</v>
      </c>
      <c r="I1440" s="35">
        <v>-122.75</v>
      </c>
      <c r="J1440" s="35">
        <v>48</v>
      </c>
      <c r="P1440" s="54" t="s">
        <v>180</v>
      </c>
      <c r="Q1440" s="54" t="s">
        <v>1057</v>
      </c>
      <c r="R1440" s="54" t="s">
        <v>1080</v>
      </c>
      <c r="S1440" s="54" t="s">
        <v>1678</v>
      </c>
      <c r="T1440" s="54" t="s">
        <v>1682</v>
      </c>
      <c r="AC1440" s="35" t="s">
        <v>166</v>
      </c>
      <c r="AD1440" s="153" t="str">
        <f t="shared" si="263"/>
        <v>Rye</v>
      </c>
      <c r="AE1440" s="35" t="s">
        <v>1640</v>
      </c>
      <c r="AP1440" s="35" t="s">
        <v>154</v>
      </c>
      <c r="DA1440" s="35">
        <v>10.9</v>
      </c>
      <c r="DB1440" s="35">
        <v>4.2300000000000004</v>
      </c>
      <c r="DC1440" s="35" t="s">
        <v>1202</v>
      </c>
      <c r="FC1440" s="35">
        <v>65</v>
      </c>
    </row>
    <row r="1441" spans="1:159" s="35" customFormat="1" x14ac:dyDescent="0.25">
      <c r="A1441" s="35">
        <v>65</v>
      </c>
      <c r="B1441" s="35" t="s">
        <v>1190</v>
      </c>
      <c r="C1441" s="35" t="s">
        <v>1189</v>
      </c>
      <c r="D1441" s="35">
        <v>1998</v>
      </c>
      <c r="E1441" s="35">
        <v>1993</v>
      </c>
      <c r="F1441" s="35" t="s">
        <v>1188</v>
      </c>
      <c r="G1441" s="35" t="s">
        <v>1191</v>
      </c>
      <c r="H1441" s="35">
        <v>45.28</v>
      </c>
      <c r="I1441" s="35">
        <v>-122.75</v>
      </c>
      <c r="J1441" s="35">
        <v>48</v>
      </c>
      <c r="P1441" s="54" t="s">
        <v>180</v>
      </c>
      <c r="Q1441" s="54" t="s">
        <v>1057</v>
      </c>
      <c r="R1441" s="54" t="s">
        <v>929</v>
      </c>
      <c r="S1441" s="54" t="s">
        <v>1678</v>
      </c>
      <c r="T1441" s="54" t="s">
        <v>1682</v>
      </c>
      <c r="AC1441" s="35" t="s">
        <v>166</v>
      </c>
      <c r="AD1441" s="153" t="str">
        <f t="shared" si="263"/>
        <v>Rye</v>
      </c>
      <c r="AE1441" s="35" t="s">
        <v>1640</v>
      </c>
      <c r="AP1441" s="35" t="s">
        <v>154</v>
      </c>
      <c r="DA1441" s="35">
        <v>9.2899999999999991</v>
      </c>
      <c r="DB1441" s="35">
        <v>5.3</v>
      </c>
      <c r="DC1441" s="35" t="s">
        <v>1202</v>
      </c>
      <c r="FC1441" s="35">
        <v>65</v>
      </c>
    </row>
    <row r="1442" spans="1:159" s="35" customFormat="1" x14ac:dyDescent="0.25">
      <c r="A1442" s="35">
        <v>65</v>
      </c>
      <c r="B1442" s="35" t="s">
        <v>1190</v>
      </c>
      <c r="C1442" s="35" t="s">
        <v>1189</v>
      </c>
      <c r="D1442" s="35">
        <v>1998</v>
      </c>
      <c r="E1442" s="35">
        <v>1993</v>
      </c>
      <c r="F1442" s="35" t="s">
        <v>1188</v>
      </c>
      <c r="G1442" s="35" t="s">
        <v>1191</v>
      </c>
      <c r="H1442" s="35">
        <v>45.28</v>
      </c>
      <c r="I1442" s="35">
        <v>-122.75</v>
      </c>
      <c r="J1442" s="35">
        <v>48</v>
      </c>
      <c r="P1442" s="54" t="s">
        <v>180</v>
      </c>
      <c r="Q1442" s="54" t="s">
        <v>1057</v>
      </c>
      <c r="R1442" s="54" t="s">
        <v>1201</v>
      </c>
      <c r="S1442" s="54" t="s">
        <v>1678</v>
      </c>
      <c r="T1442" s="54" t="s">
        <v>1682</v>
      </c>
      <c r="AC1442" s="35" t="s">
        <v>166</v>
      </c>
      <c r="AD1442" s="153" t="str">
        <f t="shared" si="263"/>
        <v>Rye</v>
      </c>
      <c r="AE1442" s="35" t="s">
        <v>1640</v>
      </c>
      <c r="AP1442" s="35" t="s">
        <v>154</v>
      </c>
      <c r="DA1442" s="35">
        <v>6.69</v>
      </c>
      <c r="DB1442" s="35">
        <v>9.5</v>
      </c>
      <c r="DC1442" s="35" t="s">
        <v>1202</v>
      </c>
      <c r="FC1442" s="35">
        <v>65</v>
      </c>
    </row>
    <row r="1443" spans="1:159" s="26" customFormat="1" x14ac:dyDescent="0.25">
      <c r="A1443" s="26">
        <v>65</v>
      </c>
      <c r="B1443" s="26" t="s">
        <v>1190</v>
      </c>
      <c r="C1443" s="26" t="s">
        <v>1189</v>
      </c>
      <c r="D1443" s="26">
        <v>1998</v>
      </c>
      <c r="E1443" s="26">
        <v>1994</v>
      </c>
      <c r="F1443" s="26" t="s">
        <v>1188</v>
      </c>
      <c r="G1443" s="26" t="s">
        <v>1191</v>
      </c>
      <c r="H1443" s="26">
        <v>45.28</v>
      </c>
      <c r="I1443" s="26">
        <v>-122.75</v>
      </c>
      <c r="J1443" s="26">
        <v>48</v>
      </c>
      <c r="P1443" s="52" t="s">
        <v>181</v>
      </c>
      <c r="Q1443" s="52" t="s">
        <v>1057</v>
      </c>
      <c r="R1443" s="52" t="s">
        <v>1077</v>
      </c>
      <c r="S1443" s="52" t="s">
        <v>1678</v>
      </c>
      <c r="T1443" s="52" t="s">
        <v>1682</v>
      </c>
      <c r="AC1443" s="26" t="s">
        <v>166</v>
      </c>
      <c r="AD1443" s="153" t="str">
        <f t="shared" si="263"/>
        <v>Rye</v>
      </c>
      <c r="AE1443" s="26" t="s">
        <v>1640</v>
      </c>
      <c r="AP1443" s="26" t="s">
        <v>154</v>
      </c>
      <c r="DA1443" s="26">
        <v>23.24</v>
      </c>
      <c r="DB1443" s="26">
        <v>10.98</v>
      </c>
      <c r="DC1443" s="26" t="s">
        <v>1202</v>
      </c>
      <c r="FC1443" s="26">
        <v>65</v>
      </c>
    </row>
    <row r="1444" spans="1:159" s="26" customFormat="1" x14ac:dyDescent="0.25">
      <c r="A1444" s="26">
        <v>65</v>
      </c>
      <c r="B1444" s="26" t="s">
        <v>1190</v>
      </c>
      <c r="C1444" s="26" t="s">
        <v>1189</v>
      </c>
      <c r="D1444" s="26">
        <v>1998</v>
      </c>
      <c r="E1444" s="26">
        <v>1994</v>
      </c>
      <c r="F1444" s="26" t="s">
        <v>1188</v>
      </c>
      <c r="G1444" s="26" t="s">
        <v>1191</v>
      </c>
      <c r="H1444" s="26">
        <v>45.28</v>
      </c>
      <c r="I1444" s="26">
        <v>-122.75</v>
      </c>
      <c r="J1444" s="26">
        <v>48</v>
      </c>
      <c r="P1444" s="52" t="s">
        <v>181</v>
      </c>
      <c r="Q1444" s="52" t="s">
        <v>1057</v>
      </c>
      <c r="R1444" s="52" t="s">
        <v>1199</v>
      </c>
      <c r="S1444" s="52" t="s">
        <v>1678</v>
      </c>
      <c r="T1444" s="52" t="s">
        <v>1682</v>
      </c>
      <c r="AC1444" s="26" t="s">
        <v>166</v>
      </c>
      <c r="AD1444" s="153" t="str">
        <f t="shared" si="263"/>
        <v>Rye</v>
      </c>
      <c r="AE1444" s="26" t="s">
        <v>1640</v>
      </c>
      <c r="AP1444" s="26" t="s">
        <v>154</v>
      </c>
      <c r="DA1444" s="26">
        <v>23</v>
      </c>
      <c r="DB1444" s="26">
        <v>8.2200000000000006</v>
      </c>
      <c r="DC1444" s="26" t="s">
        <v>1202</v>
      </c>
      <c r="FC1444" s="26">
        <v>65</v>
      </c>
    </row>
    <row r="1445" spans="1:159" s="26" customFormat="1" x14ac:dyDescent="0.25">
      <c r="A1445" s="26">
        <v>65</v>
      </c>
      <c r="B1445" s="26" t="s">
        <v>1190</v>
      </c>
      <c r="C1445" s="26" t="s">
        <v>1189</v>
      </c>
      <c r="D1445" s="26">
        <v>1998</v>
      </c>
      <c r="E1445" s="26">
        <v>1994</v>
      </c>
      <c r="F1445" s="26" t="s">
        <v>1188</v>
      </c>
      <c r="G1445" s="26" t="s">
        <v>1191</v>
      </c>
      <c r="H1445" s="26">
        <v>45.28</v>
      </c>
      <c r="I1445" s="26">
        <v>-122.75</v>
      </c>
      <c r="J1445" s="26">
        <v>48</v>
      </c>
      <c r="P1445" s="52" t="s">
        <v>181</v>
      </c>
      <c r="Q1445" s="52" t="s">
        <v>1057</v>
      </c>
      <c r="R1445" s="52" t="s">
        <v>1200</v>
      </c>
      <c r="S1445" s="52" t="s">
        <v>1678</v>
      </c>
      <c r="T1445" s="52" t="s">
        <v>1682</v>
      </c>
      <c r="AC1445" s="26" t="s">
        <v>166</v>
      </c>
      <c r="AD1445" s="153" t="str">
        <f t="shared" si="263"/>
        <v>Rye</v>
      </c>
      <c r="AE1445" s="26" t="s">
        <v>1640</v>
      </c>
      <c r="AP1445" s="26" t="s">
        <v>154</v>
      </c>
      <c r="DA1445" s="26">
        <v>23.7</v>
      </c>
      <c r="DB1445" s="26">
        <v>8.76</v>
      </c>
      <c r="DC1445" s="26" t="s">
        <v>1202</v>
      </c>
      <c r="FC1445" s="26">
        <v>65</v>
      </c>
    </row>
    <row r="1446" spans="1:159" s="26" customFormat="1" x14ac:dyDescent="0.25">
      <c r="A1446" s="26">
        <v>65</v>
      </c>
      <c r="B1446" s="26" t="s">
        <v>1190</v>
      </c>
      <c r="C1446" s="26" t="s">
        <v>1189</v>
      </c>
      <c r="D1446" s="26">
        <v>1998</v>
      </c>
      <c r="E1446" s="26">
        <v>1994</v>
      </c>
      <c r="F1446" s="26" t="s">
        <v>1188</v>
      </c>
      <c r="G1446" s="26" t="s">
        <v>1191</v>
      </c>
      <c r="H1446" s="26">
        <v>45.28</v>
      </c>
      <c r="I1446" s="26">
        <v>-122.75</v>
      </c>
      <c r="J1446" s="26">
        <v>48</v>
      </c>
      <c r="P1446" s="52" t="s">
        <v>181</v>
      </c>
      <c r="Q1446" s="52" t="s">
        <v>1057</v>
      </c>
      <c r="R1446" s="52" t="s">
        <v>928</v>
      </c>
      <c r="S1446" s="52" t="s">
        <v>1678</v>
      </c>
      <c r="T1446" s="52" t="s">
        <v>1682</v>
      </c>
      <c r="AC1446" s="26" t="s">
        <v>166</v>
      </c>
      <c r="AD1446" s="153" t="str">
        <f t="shared" si="263"/>
        <v>Rye</v>
      </c>
      <c r="AE1446" s="26" t="s">
        <v>1640</v>
      </c>
      <c r="AP1446" s="26" t="s">
        <v>154</v>
      </c>
      <c r="DA1446" s="26">
        <v>19.41</v>
      </c>
      <c r="DB1446" s="26">
        <v>9.07</v>
      </c>
      <c r="DC1446" s="26" t="s">
        <v>1202</v>
      </c>
      <c r="FC1446" s="26">
        <v>65</v>
      </c>
    </row>
    <row r="1447" spans="1:159" s="26" customFormat="1" x14ac:dyDescent="0.25">
      <c r="A1447" s="26">
        <v>65</v>
      </c>
      <c r="B1447" s="26" t="s">
        <v>1190</v>
      </c>
      <c r="C1447" s="26" t="s">
        <v>1189</v>
      </c>
      <c r="D1447" s="26">
        <v>1998</v>
      </c>
      <c r="E1447" s="26">
        <v>1994</v>
      </c>
      <c r="F1447" s="26" t="s">
        <v>1188</v>
      </c>
      <c r="G1447" s="26" t="s">
        <v>1191</v>
      </c>
      <c r="H1447" s="26">
        <v>45.28</v>
      </c>
      <c r="I1447" s="26">
        <v>-122.75</v>
      </c>
      <c r="J1447" s="26">
        <v>48</v>
      </c>
      <c r="P1447" s="52" t="s">
        <v>181</v>
      </c>
      <c r="Q1447" s="52" t="s">
        <v>1057</v>
      </c>
      <c r="R1447" s="52" t="s">
        <v>257</v>
      </c>
      <c r="S1447" s="52" t="s">
        <v>1678</v>
      </c>
      <c r="T1447" s="52" t="s">
        <v>1682</v>
      </c>
      <c r="AC1447" s="26" t="s">
        <v>166</v>
      </c>
      <c r="AD1447" s="153" t="str">
        <f t="shared" si="263"/>
        <v>Rye</v>
      </c>
      <c r="AE1447" s="26" t="s">
        <v>1640</v>
      </c>
      <c r="AP1447" s="26" t="s">
        <v>154</v>
      </c>
      <c r="DA1447" s="26">
        <v>16.649999999999999</v>
      </c>
      <c r="DB1447" s="26">
        <v>9.68</v>
      </c>
      <c r="DC1447" s="26" t="s">
        <v>1202</v>
      </c>
      <c r="FC1447" s="26">
        <v>65</v>
      </c>
    </row>
    <row r="1448" spans="1:159" s="26" customFormat="1" x14ac:dyDescent="0.25">
      <c r="A1448" s="26">
        <v>65</v>
      </c>
      <c r="B1448" s="26" t="s">
        <v>1190</v>
      </c>
      <c r="C1448" s="26" t="s">
        <v>1189</v>
      </c>
      <c r="D1448" s="26">
        <v>1998</v>
      </c>
      <c r="E1448" s="26">
        <v>1994</v>
      </c>
      <c r="F1448" s="26" t="s">
        <v>1188</v>
      </c>
      <c r="G1448" s="26" t="s">
        <v>1191</v>
      </c>
      <c r="H1448" s="26">
        <v>45.28</v>
      </c>
      <c r="I1448" s="26">
        <v>-122.75</v>
      </c>
      <c r="J1448" s="26">
        <v>48</v>
      </c>
      <c r="P1448" s="52" t="s">
        <v>181</v>
      </c>
      <c r="Q1448" s="52" t="s">
        <v>1057</v>
      </c>
      <c r="R1448" s="52" t="s">
        <v>722</v>
      </c>
      <c r="S1448" s="52" t="s">
        <v>1678</v>
      </c>
      <c r="T1448" s="52" t="s">
        <v>1682</v>
      </c>
      <c r="AC1448" s="26" t="s">
        <v>166</v>
      </c>
      <c r="AD1448" s="153" t="str">
        <f t="shared" si="263"/>
        <v>Rye</v>
      </c>
      <c r="AE1448" s="26" t="s">
        <v>1640</v>
      </c>
      <c r="AP1448" s="26" t="s">
        <v>154</v>
      </c>
      <c r="DA1448" s="26">
        <v>18.11</v>
      </c>
      <c r="DB1448" s="26">
        <v>11.14</v>
      </c>
      <c r="DC1448" s="26" t="s">
        <v>1202</v>
      </c>
      <c r="FC1448" s="26">
        <v>65</v>
      </c>
    </row>
    <row r="1449" spans="1:159" s="26" customFormat="1" x14ac:dyDescent="0.25">
      <c r="A1449" s="26">
        <v>65</v>
      </c>
      <c r="B1449" s="26" t="s">
        <v>1190</v>
      </c>
      <c r="C1449" s="26" t="s">
        <v>1189</v>
      </c>
      <c r="D1449" s="26">
        <v>1998</v>
      </c>
      <c r="E1449" s="26">
        <v>1994</v>
      </c>
      <c r="F1449" s="26" t="s">
        <v>1188</v>
      </c>
      <c r="G1449" s="26" t="s">
        <v>1191</v>
      </c>
      <c r="H1449" s="26">
        <v>45.28</v>
      </c>
      <c r="I1449" s="26">
        <v>-122.75</v>
      </c>
      <c r="J1449" s="26">
        <v>48</v>
      </c>
      <c r="P1449" s="52" t="s">
        <v>181</v>
      </c>
      <c r="Q1449" s="52" t="s">
        <v>1057</v>
      </c>
      <c r="R1449" s="52" t="s">
        <v>284</v>
      </c>
      <c r="S1449" s="52" t="s">
        <v>1678</v>
      </c>
      <c r="T1449" s="52" t="s">
        <v>1682</v>
      </c>
      <c r="AC1449" s="26" t="s">
        <v>166</v>
      </c>
      <c r="AD1449" s="153" t="str">
        <f t="shared" si="263"/>
        <v>Rye</v>
      </c>
      <c r="AE1449" s="26" t="s">
        <v>1640</v>
      </c>
      <c r="AP1449" s="26" t="s">
        <v>154</v>
      </c>
      <c r="DA1449" s="26">
        <v>20.41</v>
      </c>
      <c r="DB1449" s="26">
        <v>10.6</v>
      </c>
      <c r="DC1449" s="26" t="s">
        <v>1202</v>
      </c>
      <c r="FC1449" s="26">
        <v>65</v>
      </c>
    </row>
    <row r="1450" spans="1:159" s="26" customFormat="1" x14ac:dyDescent="0.25">
      <c r="A1450" s="26">
        <v>65</v>
      </c>
      <c r="B1450" s="26" t="s">
        <v>1190</v>
      </c>
      <c r="C1450" s="26" t="s">
        <v>1189</v>
      </c>
      <c r="D1450" s="26">
        <v>1998</v>
      </c>
      <c r="E1450" s="26">
        <v>1994</v>
      </c>
      <c r="F1450" s="26" t="s">
        <v>1188</v>
      </c>
      <c r="G1450" s="26" t="s">
        <v>1191</v>
      </c>
      <c r="H1450" s="26">
        <v>45.28</v>
      </c>
      <c r="I1450" s="26">
        <v>-122.75</v>
      </c>
      <c r="J1450" s="26">
        <v>48</v>
      </c>
      <c r="P1450" s="52" t="s">
        <v>181</v>
      </c>
      <c r="Q1450" s="52" t="s">
        <v>1057</v>
      </c>
      <c r="R1450" s="52" t="s">
        <v>1081</v>
      </c>
      <c r="S1450" s="52" t="s">
        <v>1678</v>
      </c>
      <c r="T1450" s="52" t="s">
        <v>1682</v>
      </c>
      <c r="AC1450" s="26" t="s">
        <v>166</v>
      </c>
      <c r="AD1450" s="153" t="str">
        <f t="shared" si="263"/>
        <v>Rye</v>
      </c>
      <c r="AE1450" s="26" t="s">
        <v>1640</v>
      </c>
      <c r="AP1450" s="26" t="s">
        <v>154</v>
      </c>
      <c r="DA1450" s="26">
        <v>20.95</v>
      </c>
      <c r="DB1450" s="26">
        <v>9.3000000000000007</v>
      </c>
      <c r="DC1450" s="26" t="s">
        <v>1202</v>
      </c>
      <c r="FC1450" s="26">
        <v>65</v>
      </c>
    </row>
    <row r="1451" spans="1:159" s="26" customFormat="1" x14ac:dyDescent="0.25">
      <c r="A1451" s="26">
        <v>65</v>
      </c>
      <c r="B1451" s="26" t="s">
        <v>1190</v>
      </c>
      <c r="C1451" s="26" t="s">
        <v>1189</v>
      </c>
      <c r="D1451" s="26">
        <v>1998</v>
      </c>
      <c r="E1451" s="26">
        <v>1994</v>
      </c>
      <c r="F1451" s="26" t="s">
        <v>1188</v>
      </c>
      <c r="G1451" s="26" t="s">
        <v>1191</v>
      </c>
      <c r="H1451" s="26">
        <v>45.28</v>
      </c>
      <c r="I1451" s="26">
        <v>-122.75</v>
      </c>
      <c r="J1451" s="26">
        <v>48</v>
      </c>
      <c r="P1451" s="52" t="s">
        <v>181</v>
      </c>
      <c r="Q1451" s="52" t="s">
        <v>1057</v>
      </c>
      <c r="R1451" s="52" t="s">
        <v>1079</v>
      </c>
      <c r="S1451" s="52" t="s">
        <v>1678</v>
      </c>
      <c r="T1451" s="52" t="s">
        <v>1682</v>
      </c>
      <c r="AC1451" s="26" t="s">
        <v>166</v>
      </c>
      <c r="AD1451" s="153" t="str">
        <f t="shared" si="263"/>
        <v>Rye</v>
      </c>
      <c r="AE1451" s="26" t="s">
        <v>1640</v>
      </c>
      <c r="AP1451" s="26" t="s">
        <v>154</v>
      </c>
      <c r="DA1451" s="26">
        <v>21.95</v>
      </c>
      <c r="DB1451" s="26">
        <v>8.4600000000000009</v>
      </c>
      <c r="DC1451" s="26" t="s">
        <v>1202</v>
      </c>
      <c r="FC1451" s="26">
        <v>65</v>
      </c>
    </row>
    <row r="1452" spans="1:159" s="26" customFormat="1" x14ac:dyDescent="0.25">
      <c r="A1452" s="26">
        <v>65</v>
      </c>
      <c r="B1452" s="26" t="s">
        <v>1190</v>
      </c>
      <c r="C1452" s="26" t="s">
        <v>1189</v>
      </c>
      <c r="D1452" s="26">
        <v>1998</v>
      </c>
      <c r="E1452" s="26">
        <v>1994</v>
      </c>
      <c r="F1452" s="26" t="s">
        <v>1188</v>
      </c>
      <c r="G1452" s="26" t="s">
        <v>1191</v>
      </c>
      <c r="H1452" s="26">
        <v>45.28</v>
      </c>
      <c r="I1452" s="26">
        <v>-122.75</v>
      </c>
      <c r="J1452" s="26">
        <v>48</v>
      </c>
      <c r="P1452" s="52" t="s">
        <v>181</v>
      </c>
      <c r="Q1452" s="52" t="s">
        <v>1057</v>
      </c>
      <c r="R1452" s="52" t="s">
        <v>1080</v>
      </c>
      <c r="S1452" s="52" t="s">
        <v>1678</v>
      </c>
      <c r="T1452" s="52" t="s">
        <v>1682</v>
      </c>
      <c r="AC1452" s="26" t="s">
        <v>166</v>
      </c>
      <c r="AD1452" s="153" t="str">
        <f t="shared" si="263"/>
        <v>Rye</v>
      </c>
      <c r="AE1452" s="26" t="s">
        <v>1640</v>
      </c>
      <c r="AP1452" s="26" t="s">
        <v>154</v>
      </c>
      <c r="DA1452" s="26">
        <v>13.29</v>
      </c>
      <c r="DB1452" s="26">
        <v>4.9400000000000004</v>
      </c>
      <c r="DC1452" s="26" t="s">
        <v>1202</v>
      </c>
      <c r="FC1452" s="26">
        <v>65</v>
      </c>
    </row>
    <row r="1453" spans="1:159" s="26" customFormat="1" x14ac:dyDescent="0.25">
      <c r="A1453" s="26">
        <v>65</v>
      </c>
      <c r="B1453" s="26" t="s">
        <v>1190</v>
      </c>
      <c r="C1453" s="26" t="s">
        <v>1189</v>
      </c>
      <c r="D1453" s="26">
        <v>1998</v>
      </c>
      <c r="E1453" s="26">
        <v>1994</v>
      </c>
      <c r="F1453" s="26" t="s">
        <v>1188</v>
      </c>
      <c r="G1453" s="26" t="s">
        <v>1191</v>
      </c>
      <c r="H1453" s="26">
        <v>45.28</v>
      </c>
      <c r="I1453" s="26">
        <v>-122.75</v>
      </c>
      <c r="J1453" s="26">
        <v>48</v>
      </c>
      <c r="P1453" s="52" t="s">
        <v>181</v>
      </c>
      <c r="Q1453" s="52" t="s">
        <v>1057</v>
      </c>
      <c r="R1453" s="52" t="s">
        <v>929</v>
      </c>
      <c r="S1453" s="52" t="s">
        <v>1678</v>
      </c>
      <c r="T1453" s="52" t="s">
        <v>1682</v>
      </c>
      <c r="AC1453" s="26" t="s">
        <v>166</v>
      </c>
      <c r="AD1453" s="153" t="str">
        <f t="shared" si="263"/>
        <v>Rye</v>
      </c>
      <c r="AE1453" s="26" t="s">
        <v>1640</v>
      </c>
      <c r="AP1453" s="26" t="s">
        <v>154</v>
      </c>
      <c r="DA1453" s="26">
        <v>20.190000000000001</v>
      </c>
      <c r="DB1453" s="26">
        <v>8</v>
      </c>
      <c r="DC1453" s="26" t="s">
        <v>1202</v>
      </c>
      <c r="FC1453" s="26">
        <v>65</v>
      </c>
    </row>
    <row r="1454" spans="1:159" s="26" customFormat="1" x14ac:dyDescent="0.25">
      <c r="A1454" s="26">
        <v>65</v>
      </c>
      <c r="B1454" s="26" t="s">
        <v>1190</v>
      </c>
      <c r="C1454" s="26" t="s">
        <v>1189</v>
      </c>
      <c r="D1454" s="26">
        <v>1998</v>
      </c>
      <c r="E1454" s="26">
        <v>1994</v>
      </c>
      <c r="F1454" s="26" t="s">
        <v>1188</v>
      </c>
      <c r="G1454" s="26" t="s">
        <v>1191</v>
      </c>
      <c r="H1454" s="26">
        <v>45.28</v>
      </c>
      <c r="I1454" s="26">
        <v>-122.75</v>
      </c>
      <c r="J1454" s="26">
        <v>48</v>
      </c>
      <c r="P1454" s="52" t="s">
        <v>181</v>
      </c>
      <c r="Q1454" s="52" t="s">
        <v>1057</v>
      </c>
      <c r="R1454" s="52" t="s">
        <v>1201</v>
      </c>
      <c r="S1454" s="52" t="s">
        <v>1678</v>
      </c>
      <c r="T1454" s="52" t="s">
        <v>1682</v>
      </c>
      <c r="AC1454" s="26" t="s">
        <v>166</v>
      </c>
      <c r="AD1454" s="153" t="str">
        <f t="shared" si="263"/>
        <v>Rye</v>
      </c>
      <c r="AE1454" s="26" t="s">
        <v>1640</v>
      </c>
      <c r="AP1454" s="26" t="s">
        <v>154</v>
      </c>
      <c r="DA1454" s="26">
        <v>11.38</v>
      </c>
      <c r="DB1454" s="26">
        <v>4.4800000000000004</v>
      </c>
      <c r="DC1454" s="26" t="s">
        <v>1202</v>
      </c>
      <c r="FC1454" s="26">
        <v>65</v>
      </c>
    </row>
    <row r="1455" spans="1:159" x14ac:dyDescent="0.25">
      <c r="A1455" s="46">
        <v>66</v>
      </c>
      <c r="B1455" s="46" t="s">
        <v>1203</v>
      </c>
      <c r="C1455" s="46" t="s">
        <v>1204</v>
      </c>
      <c r="D1455" s="46">
        <v>2015</v>
      </c>
      <c r="E1455" s="46">
        <v>2002</v>
      </c>
      <c r="F1455" s="46" t="s">
        <v>395</v>
      </c>
      <c r="G1455" s="46" t="s">
        <v>1205</v>
      </c>
      <c r="H1455" s="46">
        <v>39.54</v>
      </c>
      <c r="I1455" s="46">
        <v>-91.33</v>
      </c>
      <c r="J1455" s="46">
        <v>179.9</v>
      </c>
      <c r="P1455" s="81" t="s">
        <v>207</v>
      </c>
      <c r="Q1455" s="81" t="s">
        <v>1057</v>
      </c>
      <c r="S1455" s="81" t="s">
        <v>1659</v>
      </c>
      <c r="T1455" s="81" t="s">
        <v>1647</v>
      </c>
      <c r="U1455" s="46">
        <v>1.37</v>
      </c>
      <c r="X1455" s="46" t="s">
        <v>168</v>
      </c>
      <c r="Y1455" s="46">
        <v>6.98</v>
      </c>
      <c r="AB1455" s="46" t="s">
        <v>1589</v>
      </c>
      <c r="AC1455" s="46" t="s">
        <v>1815</v>
      </c>
      <c r="AD1455" s="153" t="str">
        <f t="shared" si="263"/>
        <v>red_clover</v>
      </c>
      <c r="AE1455" s="46" t="s">
        <v>824</v>
      </c>
      <c r="AG1455" s="46" t="s">
        <v>1206</v>
      </c>
      <c r="AH1455" s="46" t="s">
        <v>1207</v>
      </c>
      <c r="AI1455" s="46" t="s">
        <v>618</v>
      </c>
      <c r="AJ1455" s="46" t="s">
        <v>203</v>
      </c>
      <c r="AK1455" s="46" t="s">
        <v>203</v>
      </c>
      <c r="AL1455" s="46" t="s">
        <v>230</v>
      </c>
      <c r="AM1455" s="46" t="s">
        <v>529</v>
      </c>
      <c r="AN1455" s="46" t="s">
        <v>529</v>
      </c>
      <c r="AO1455" s="46" t="s">
        <v>230</v>
      </c>
      <c r="AP1455" s="46" t="s">
        <v>154</v>
      </c>
      <c r="AQ1455" s="46">
        <v>3</v>
      </c>
      <c r="AR1455" s="46">
        <v>3</v>
      </c>
      <c r="AS1455" s="46" t="s">
        <v>177</v>
      </c>
      <c r="AX1455" s="46" t="s">
        <v>1217</v>
      </c>
      <c r="BE1455" s="46">
        <v>1.37</v>
      </c>
      <c r="BF1455" s="46">
        <v>1.36</v>
      </c>
      <c r="BH1455" s="46">
        <v>1.7</v>
      </c>
      <c r="BI1455" s="46">
        <v>2.2400000000000002</v>
      </c>
      <c r="BJ1455" s="46" t="s">
        <v>1209</v>
      </c>
      <c r="BK1455" s="46">
        <f>1.72*1000</f>
        <v>1720</v>
      </c>
      <c r="BL1455" s="46">
        <f>2.14*1000</f>
        <v>2140</v>
      </c>
      <c r="BM1455" s="46" t="s">
        <v>292</v>
      </c>
      <c r="BN1455" s="46">
        <v>78</v>
      </c>
      <c r="BO1455" s="46">
        <v>39</v>
      </c>
      <c r="BP1455" s="46" t="s">
        <v>1214</v>
      </c>
      <c r="BQ1455" s="46">
        <v>150</v>
      </c>
      <c r="BR1455" s="46">
        <v>144</v>
      </c>
      <c r="BS1455" s="46" t="s">
        <v>1215</v>
      </c>
      <c r="BT1455" s="46">
        <v>7.2</v>
      </c>
      <c r="BU1455" s="46">
        <v>7.1</v>
      </c>
      <c r="BW1455" s="46" t="s">
        <v>1397</v>
      </c>
      <c r="BX1455" s="46" t="s">
        <v>1397</v>
      </c>
      <c r="BZ1455" s="46">
        <v>0.21</v>
      </c>
      <c r="CA1455" s="46">
        <v>0.27</v>
      </c>
      <c r="CB1455" s="46" t="s">
        <v>1212</v>
      </c>
      <c r="CF1455" s="46">
        <v>85.8</v>
      </c>
      <c r="CG1455" s="46">
        <v>87.6</v>
      </c>
      <c r="CH1455" s="46" t="s">
        <v>1208</v>
      </c>
      <c r="DS1455" s="46">
        <v>167</v>
      </c>
      <c r="DT1455" s="46">
        <v>236</v>
      </c>
      <c r="DU1455" s="46" t="s">
        <v>1210</v>
      </c>
      <c r="DV1455" s="46">
        <f>0.53*1000</f>
        <v>530</v>
      </c>
      <c r="DW1455" s="46">
        <f>0.77*1000</f>
        <v>770</v>
      </c>
      <c r="DY1455" s="46">
        <v>46.4</v>
      </c>
      <c r="DZ1455" s="46">
        <v>60.4</v>
      </c>
      <c r="EA1455" s="46" t="s">
        <v>1211</v>
      </c>
      <c r="EQ1455" s="46">
        <v>287</v>
      </c>
      <c r="ER1455" s="46">
        <v>297</v>
      </c>
      <c r="ES1455" s="46" t="s">
        <v>1211</v>
      </c>
      <c r="EW1455" s="46">
        <v>99999</v>
      </c>
      <c r="EX1455" s="46">
        <v>99999</v>
      </c>
      <c r="FA1455" s="46" t="s">
        <v>1216</v>
      </c>
      <c r="FC1455" s="46">
        <v>66</v>
      </c>
    </row>
    <row r="1456" spans="1:159" x14ac:dyDescent="0.25">
      <c r="A1456" s="46">
        <v>66</v>
      </c>
      <c r="B1456" s="46" t="s">
        <v>1203</v>
      </c>
      <c r="C1456" s="46" t="s">
        <v>1204</v>
      </c>
      <c r="D1456" s="46">
        <v>2015</v>
      </c>
      <c r="E1456" s="46">
        <v>2002</v>
      </c>
      <c r="F1456" s="46" t="s">
        <v>395</v>
      </c>
      <c r="G1456" s="46" t="s">
        <v>1205</v>
      </c>
      <c r="H1456" s="46">
        <v>39.54</v>
      </c>
      <c r="I1456" s="46">
        <v>-91.33</v>
      </c>
      <c r="J1456" s="46">
        <v>179.9</v>
      </c>
      <c r="P1456" s="81" t="s">
        <v>207</v>
      </c>
      <c r="Q1456" s="81" t="s">
        <v>1057</v>
      </c>
      <c r="S1456" s="81" t="s">
        <v>1677</v>
      </c>
      <c r="T1456" s="81" t="s">
        <v>1647</v>
      </c>
      <c r="U1456" s="46">
        <v>1.37</v>
      </c>
      <c r="X1456" s="46" t="s">
        <v>168</v>
      </c>
      <c r="Y1456" s="46">
        <v>6.98</v>
      </c>
      <c r="AB1456" s="46" t="s">
        <v>1589</v>
      </c>
      <c r="AC1456" s="46" t="s">
        <v>1815</v>
      </c>
      <c r="AD1456" s="153" t="str">
        <f t="shared" si="263"/>
        <v>red_clover</v>
      </c>
      <c r="AE1456" s="46" t="s">
        <v>824</v>
      </c>
      <c r="AG1456" s="46" t="s">
        <v>1206</v>
      </c>
      <c r="AH1456" s="46" t="s">
        <v>1207</v>
      </c>
      <c r="AI1456" s="46" t="s">
        <v>618</v>
      </c>
      <c r="AJ1456" s="46" t="s">
        <v>203</v>
      </c>
      <c r="AK1456" s="46" t="s">
        <v>203</v>
      </c>
      <c r="AL1456" s="46" t="s">
        <v>230</v>
      </c>
      <c r="AM1456" s="46" t="s">
        <v>529</v>
      </c>
      <c r="AN1456" s="46" t="s">
        <v>529</v>
      </c>
      <c r="AO1456" s="46" t="s">
        <v>230</v>
      </c>
      <c r="AP1456" s="46" t="s">
        <v>154</v>
      </c>
      <c r="AQ1456" s="46">
        <v>3</v>
      </c>
      <c r="AR1456" s="46">
        <v>3</v>
      </c>
      <c r="AS1456" s="46" t="s">
        <v>177</v>
      </c>
      <c r="AX1456" s="46" t="s">
        <v>1217</v>
      </c>
      <c r="BE1456" s="46">
        <v>1.38</v>
      </c>
      <c r="BF1456" s="46">
        <v>1.4</v>
      </c>
      <c r="BH1456" s="46">
        <v>1.02</v>
      </c>
      <c r="BI1456" s="46">
        <v>1.01</v>
      </c>
      <c r="BJ1456" s="46" t="s">
        <v>1209</v>
      </c>
      <c r="BK1456" s="46">
        <v>1180</v>
      </c>
      <c r="BL1456" s="46">
        <v>1220</v>
      </c>
      <c r="BM1456" s="46" t="s">
        <v>292</v>
      </c>
      <c r="BN1456" s="46">
        <v>16.5</v>
      </c>
      <c r="BO1456" s="46">
        <v>12.2</v>
      </c>
      <c r="BP1456" s="46" t="s">
        <v>1214</v>
      </c>
      <c r="BQ1456" s="46">
        <v>107</v>
      </c>
      <c r="BR1456" s="46">
        <v>108</v>
      </c>
      <c r="BS1456" s="46" t="s">
        <v>1215</v>
      </c>
      <c r="BT1456" s="46">
        <v>6.8</v>
      </c>
      <c r="BU1456" s="46">
        <v>6.7</v>
      </c>
      <c r="BW1456" s="46" t="s">
        <v>1397</v>
      </c>
      <c r="BX1456" s="46" t="s">
        <v>1397</v>
      </c>
      <c r="BZ1456" s="46">
        <v>0.16</v>
      </c>
      <c r="CA1456" s="46">
        <v>0.17</v>
      </c>
      <c r="CB1456" s="46" t="s">
        <v>1212</v>
      </c>
      <c r="CF1456" s="46">
        <v>87.1</v>
      </c>
      <c r="CG1456" s="46">
        <v>85</v>
      </c>
      <c r="CH1456" s="46" t="s">
        <v>1208</v>
      </c>
      <c r="DS1456" s="46">
        <v>36.1</v>
      </c>
      <c r="DT1456" s="46">
        <v>39.799999999999997</v>
      </c>
      <c r="DU1456" s="46" t="s">
        <v>1210</v>
      </c>
      <c r="DV1456" s="46">
        <v>189</v>
      </c>
      <c r="DW1456" s="46">
        <v>214</v>
      </c>
      <c r="DY1456" s="46">
        <v>14</v>
      </c>
      <c r="DZ1456" s="46">
        <v>16.600000000000001</v>
      </c>
      <c r="EA1456" s="46" t="s">
        <v>1211</v>
      </c>
      <c r="EQ1456" s="46">
        <v>105</v>
      </c>
      <c r="ER1456" s="46">
        <v>131</v>
      </c>
      <c r="ES1456" s="46" t="s">
        <v>1211</v>
      </c>
      <c r="EW1456" s="46">
        <v>99999</v>
      </c>
      <c r="EX1456" s="46">
        <v>99999</v>
      </c>
      <c r="FA1456" s="46" t="s">
        <v>1216</v>
      </c>
      <c r="FC1456" s="46">
        <v>66</v>
      </c>
    </row>
    <row r="1457" spans="1:159" s="31" customFormat="1" x14ac:dyDescent="0.25">
      <c r="A1457" s="31">
        <v>66</v>
      </c>
      <c r="B1457" s="31" t="s">
        <v>1203</v>
      </c>
      <c r="C1457" s="31" t="s">
        <v>1204</v>
      </c>
      <c r="D1457" s="31">
        <v>2015</v>
      </c>
      <c r="E1457" s="31">
        <v>2002</v>
      </c>
      <c r="F1457" s="31" t="s">
        <v>395</v>
      </c>
      <c r="G1457" s="31" t="s">
        <v>1205</v>
      </c>
      <c r="H1457" s="31">
        <v>39.54</v>
      </c>
      <c r="I1457" s="31">
        <v>-91.33</v>
      </c>
      <c r="J1457" s="31">
        <v>179.9</v>
      </c>
      <c r="P1457" s="56" t="s">
        <v>207</v>
      </c>
      <c r="Q1457" s="56" t="s">
        <v>1057</v>
      </c>
      <c r="R1457" s="56"/>
      <c r="S1457" s="56" t="s">
        <v>1659</v>
      </c>
      <c r="T1457" s="56" t="s">
        <v>1647</v>
      </c>
      <c r="U1457" s="31">
        <f>(1.37+1.43)/2</f>
        <v>1.4</v>
      </c>
      <c r="X1457" s="31" t="s">
        <v>168</v>
      </c>
      <c r="Y1457" s="31">
        <v>6.98</v>
      </c>
      <c r="AB1457" s="31" t="s">
        <v>1589</v>
      </c>
      <c r="AC1457" s="31" t="s">
        <v>1815</v>
      </c>
      <c r="AD1457" s="153" t="str">
        <f t="shared" si="263"/>
        <v>red_clover</v>
      </c>
      <c r="AE1457" s="31" t="s">
        <v>824</v>
      </c>
      <c r="AG1457" s="31" t="s">
        <v>1206</v>
      </c>
      <c r="AH1457" s="31" t="s">
        <v>1206</v>
      </c>
      <c r="AI1457" s="31" t="s">
        <v>230</v>
      </c>
      <c r="AJ1457" s="31" t="s">
        <v>203</v>
      </c>
      <c r="AK1457" s="31" t="s">
        <v>1219</v>
      </c>
      <c r="AL1457" s="31" t="s">
        <v>618</v>
      </c>
      <c r="AM1457" s="31" t="s">
        <v>529</v>
      </c>
      <c r="AN1457" s="31" t="s">
        <v>1220</v>
      </c>
      <c r="AO1457" s="31" t="s">
        <v>618</v>
      </c>
      <c r="AP1457" s="31" t="s">
        <v>154</v>
      </c>
      <c r="AQ1457" s="31">
        <v>3</v>
      </c>
      <c r="AR1457" s="31">
        <v>3</v>
      </c>
      <c r="AS1457" s="31" t="s">
        <v>177</v>
      </c>
      <c r="AX1457" s="31" t="s">
        <v>1218</v>
      </c>
      <c r="BE1457" s="31">
        <v>1.43</v>
      </c>
      <c r="BF1457" s="31">
        <v>1.37</v>
      </c>
      <c r="BH1457" s="31">
        <f>15.9/10</f>
        <v>1.59</v>
      </c>
      <c r="BI1457" s="31">
        <f>16.7/10</f>
        <v>1.67</v>
      </c>
      <c r="BJ1457" s="31" t="s">
        <v>1209</v>
      </c>
      <c r="BK1457" s="31">
        <v>1710</v>
      </c>
      <c r="BL1457" s="31">
        <v>2270</v>
      </c>
      <c r="BM1457" s="31" t="s">
        <v>292</v>
      </c>
      <c r="BN1457" s="31">
        <v>37</v>
      </c>
      <c r="BO1457" s="31">
        <v>96</v>
      </c>
      <c r="BP1457" s="31" t="s">
        <v>1214</v>
      </c>
      <c r="BQ1457" s="31">
        <v>163</v>
      </c>
      <c r="BR1457" s="31">
        <v>136</v>
      </c>
      <c r="BS1457" s="31" t="s">
        <v>1215</v>
      </c>
      <c r="BT1457" s="31">
        <v>6.7</v>
      </c>
      <c r="BU1457" s="31">
        <v>7.2</v>
      </c>
      <c r="BW1457" s="31" t="s">
        <v>1397</v>
      </c>
      <c r="BX1457" s="31" t="s">
        <v>1397</v>
      </c>
      <c r="BZ1457" s="31">
        <v>0.41</v>
      </c>
      <c r="CA1457" s="31">
        <v>0.33</v>
      </c>
      <c r="CB1457" s="31" t="s">
        <v>1212</v>
      </c>
      <c r="CF1457" s="31">
        <v>88.6</v>
      </c>
      <c r="CG1457" s="31">
        <v>90.2</v>
      </c>
      <c r="CH1457" s="31" t="s">
        <v>1208</v>
      </c>
      <c r="DS1457" s="31">
        <v>222</v>
      </c>
      <c r="DT1457" s="31">
        <v>186</v>
      </c>
      <c r="DU1457" s="31" t="s">
        <v>1210</v>
      </c>
      <c r="DV1457" s="31">
        <v>530</v>
      </c>
      <c r="DW1457" s="31">
        <v>810</v>
      </c>
      <c r="DY1457" s="31">
        <v>47.9</v>
      </c>
      <c r="DZ1457" s="31">
        <v>22.8</v>
      </c>
      <c r="EA1457" s="31" t="s">
        <v>1211</v>
      </c>
      <c r="EQ1457" s="31">
        <v>389</v>
      </c>
      <c r="ER1457" s="31">
        <v>731</v>
      </c>
      <c r="ES1457" s="31" t="s">
        <v>1211</v>
      </c>
      <c r="EW1457" s="31">
        <v>99999</v>
      </c>
      <c r="EX1457" s="46">
        <v>99999</v>
      </c>
      <c r="FA1457" s="31" t="s">
        <v>1216</v>
      </c>
      <c r="FC1457" s="31">
        <v>66</v>
      </c>
    </row>
    <row r="1458" spans="1:159" s="31" customFormat="1" x14ac:dyDescent="0.25">
      <c r="A1458" s="31">
        <v>66</v>
      </c>
      <c r="B1458" s="31" t="s">
        <v>1203</v>
      </c>
      <c r="C1458" s="31" t="s">
        <v>1204</v>
      </c>
      <c r="D1458" s="31">
        <v>2015</v>
      </c>
      <c r="E1458" s="31">
        <v>2002</v>
      </c>
      <c r="F1458" s="31" t="s">
        <v>395</v>
      </c>
      <c r="G1458" s="31" t="s">
        <v>1205</v>
      </c>
      <c r="H1458" s="31">
        <v>39.54</v>
      </c>
      <c r="I1458" s="31">
        <v>-91.33</v>
      </c>
      <c r="J1458" s="31">
        <v>179.9</v>
      </c>
      <c r="P1458" s="56" t="s">
        <v>207</v>
      </c>
      <c r="Q1458" s="56" t="s">
        <v>1057</v>
      </c>
      <c r="R1458" s="56"/>
      <c r="S1458" s="56" t="s">
        <v>1677</v>
      </c>
      <c r="T1458" s="56" t="s">
        <v>1647</v>
      </c>
      <c r="U1458" s="31">
        <f>(1.37+1.43)/2</f>
        <v>1.4</v>
      </c>
      <c r="X1458" s="31" t="s">
        <v>168</v>
      </c>
      <c r="Y1458" s="31">
        <v>6.98</v>
      </c>
      <c r="AB1458" s="31" t="s">
        <v>1589</v>
      </c>
      <c r="AC1458" s="31" t="s">
        <v>1815</v>
      </c>
      <c r="AD1458" s="153" t="str">
        <f t="shared" si="263"/>
        <v>red_clover</v>
      </c>
      <c r="AE1458" s="31" t="s">
        <v>824</v>
      </c>
      <c r="AG1458" s="31" t="s">
        <v>1206</v>
      </c>
      <c r="AH1458" s="31" t="s">
        <v>1206</v>
      </c>
      <c r="AI1458" s="31" t="s">
        <v>230</v>
      </c>
      <c r="AJ1458" s="31" t="s">
        <v>203</v>
      </c>
      <c r="AK1458" s="31" t="s">
        <v>1219</v>
      </c>
      <c r="AL1458" s="31" t="s">
        <v>618</v>
      </c>
      <c r="AM1458" s="31" t="s">
        <v>529</v>
      </c>
      <c r="AN1458" s="31" t="s">
        <v>1220</v>
      </c>
      <c r="AO1458" s="31" t="s">
        <v>618</v>
      </c>
      <c r="AP1458" s="31" t="s">
        <v>154</v>
      </c>
      <c r="AQ1458" s="31">
        <v>3</v>
      </c>
      <c r="AR1458" s="31">
        <v>3</v>
      </c>
      <c r="AS1458" s="31" t="s">
        <v>177</v>
      </c>
      <c r="AX1458" s="31" t="s">
        <v>1218</v>
      </c>
      <c r="BE1458" s="31">
        <v>1.41</v>
      </c>
      <c r="BF1458" s="31">
        <v>1.46</v>
      </c>
      <c r="BH1458" s="31">
        <v>1.04</v>
      </c>
      <c r="BI1458" s="31">
        <v>1.33</v>
      </c>
      <c r="BJ1458" s="31" t="s">
        <v>1209</v>
      </c>
      <c r="BK1458" s="31">
        <v>1160</v>
      </c>
      <c r="BL1458" s="31">
        <v>1600</v>
      </c>
      <c r="BM1458" s="31" t="s">
        <v>292</v>
      </c>
      <c r="BN1458" s="31">
        <v>12.6</v>
      </c>
      <c r="BO1458" s="31">
        <v>32.5</v>
      </c>
      <c r="BP1458" s="31" t="s">
        <v>1214</v>
      </c>
      <c r="BQ1458" s="31">
        <v>65.099999999999994</v>
      </c>
      <c r="BR1458" s="31">
        <v>67.8</v>
      </c>
      <c r="BS1458" s="31" t="s">
        <v>1215</v>
      </c>
      <c r="BT1458" s="31">
        <v>6.9</v>
      </c>
      <c r="BU1458" s="31">
        <v>7.2</v>
      </c>
      <c r="BW1458" s="31" t="s">
        <v>1397</v>
      </c>
      <c r="BX1458" s="31" t="s">
        <v>1397</v>
      </c>
      <c r="BZ1458" s="31">
        <v>0.13</v>
      </c>
      <c r="CA1458" s="31">
        <v>0.2</v>
      </c>
      <c r="CB1458" s="31" t="s">
        <v>1212</v>
      </c>
      <c r="CF1458" s="31">
        <v>85.8</v>
      </c>
      <c r="CG1458" s="31">
        <v>91.2</v>
      </c>
      <c r="CH1458" s="31" t="s">
        <v>1208</v>
      </c>
      <c r="DS1458" s="31">
        <v>57.8</v>
      </c>
      <c r="DT1458" s="31">
        <v>77.599999999999994</v>
      </c>
      <c r="DU1458" s="31" t="s">
        <v>1210</v>
      </c>
      <c r="DV1458" s="31">
        <v>202</v>
      </c>
      <c r="DW1458" s="31">
        <v>266</v>
      </c>
      <c r="DY1458" s="31">
        <v>22.6</v>
      </c>
      <c r="DZ1458" s="31">
        <v>14.3</v>
      </c>
      <c r="EA1458" s="31" t="s">
        <v>1211</v>
      </c>
      <c r="EQ1458" s="31">
        <v>109</v>
      </c>
      <c r="ER1458" s="31">
        <v>251</v>
      </c>
      <c r="ES1458" s="31" t="s">
        <v>1211</v>
      </c>
      <c r="EW1458" s="31">
        <v>99999</v>
      </c>
      <c r="EX1458" s="46">
        <v>99999</v>
      </c>
      <c r="FA1458" s="31" t="s">
        <v>1216</v>
      </c>
      <c r="FC1458" s="31">
        <v>66</v>
      </c>
    </row>
    <row r="1459" spans="1:159" s="47" customFormat="1" x14ac:dyDescent="0.25">
      <c r="A1459" s="47">
        <v>67</v>
      </c>
      <c r="B1459" s="47" t="s">
        <v>1221</v>
      </c>
      <c r="C1459" s="47" t="s">
        <v>1222</v>
      </c>
      <c r="D1459" s="47">
        <v>2006</v>
      </c>
      <c r="E1459" s="47">
        <v>2002</v>
      </c>
      <c r="F1459" s="47" t="s">
        <v>193</v>
      </c>
      <c r="G1459" s="47" t="s">
        <v>1223</v>
      </c>
      <c r="H1459" s="47">
        <v>40.1</v>
      </c>
      <c r="I1459" s="47">
        <v>-88.25</v>
      </c>
      <c r="J1459" s="47">
        <v>235.6</v>
      </c>
      <c r="P1459" s="82" t="s">
        <v>179</v>
      </c>
      <c r="Q1459" s="82" t="s">
        <v>1057</v>
      </c>
      <c r="R1459" s="82" t="s">
        <v>1225</v>
      </c>
      <c r="S1459" s="82" t="s">
        <v>1659</v>
      </c>
      <c r="T1459" s="82" t="s">
        <v>1654</v>
      </c>
      <c r="X1459" s="47" t="s">
        <v>175</v>
      </c>
      <c r="AB1459" s="47" t="s">
        <v>1556</v>
      </c>
      <c r="AC1459" s="47" t="s">
        <v>166</v>
      </c>
      <c r="AD1459" s="153" t="str">
        <f t="shared" si="263"/>
        <v>Rye</v>
      </c>
      <c r="AE1459" s="47" t="s">
        <v>167</v>
      </c>
      <c r="AG1459" s="47" t="s">
        <v>1206</v>
      </c>
      <c r="AH1459" s="47" t="s">
        <v>1206</v>
      </c>
      <c r="AI1459" s="47" t="s">
        <v>230</v>
      </c>
      <c r="AJ1459" s="47" t="s">
        <v>203</v>
      </c>
      <c r="AK1459" s="47" t="s">
        <v>203</v>
      </c>
      <c r="AL1459" s="47" t="s">
        <v>230</v>
      </c>
      <c r="AM1459" s="47" t="s">
        <v>1224</v>
      </c>
      <c r="AN1459" s="47" t="s">
        <v>1224</v>
      </c>
      <c r="AO1459" s="47" t="s">
        <v>230</v>
      </c>
      <c r="AP1459" s="47" t="s">
        <v>154</v>
      </c>
      <c r="AQ1459" s="47">
        <v>4</v>
      </c>
      <c r="AR1459" s="47">
        <v>4</v>
      </c>
      <c r="AS1459" s="47" t="s">
        <v>404</v>
      </c>
      <c r="BE1459" s="47">
        <v>1.32</v>
      </c>
      <c r="BF1459" s="47">
        <v>1.24</v>
      </c>
      <c r="BH1459" s="47">
        <v>4.2</v>
      </c>
      <c r="BI1459" s="47">
        <v>4.4000000000000004</v>
      </c>
      <c r="BJ1459" s="47" t="s">
        <v>1226</v>
      </c>
      <c r="BK1459" s="47">
        <v>27.7</v>
      </c>
      <c r="BL1459" s="47">
        <v>23.1</v>
      </c>
      <c r="BM1459" s="47" t="s">
        <v>1229</v>
      </c>
      <c r="BN1459" s="47">
        <v>36.4</v>
      </c>
      <c r="BO1459" s="47">
        <v>29.6</v>
      </c>
      <c r="CF1459" s="47">
        <v>38</v>
      </c>
      <c r="CG1459" s="47">
        <v>41</v>
      </c>
      <c r="CH1459" s="47" t="s">
        <v>1208</v>
      </c>
      <c r="CI1459" s="47">
        <v>39</v>
      </c>
      <c r="CJ1459" s="47">
        <v>41</v>
      </c>
      <c r="CK1459" s="47" t="s">
        <v>1238</v>
      </c>
      <c r="CL1459" s="47">
        <v>1.4119999999999999</v>
      </c>
      <c r="CM1459" s="47">
        <v>1.032</v>
      </c>
      <c r="CN1459" s="47" t="s">
        <v>1230</v>
      </c>
      <c r="DJ1459" s="47">
        <v>24.3</v>
      </c>
      <c r="DK1459" s="47">
        <v>25.3</v>
      </c>
      <c r="DL1459" s="47" t="s">
        <v>1239</v>
      </c>
      <c r="FC1459" s="47">
        <v>67</v>
      </c>
    </row>
    <row r="1460" spans="1:159" s="47" customFormat="1" x14ac:dyDescent="0.25">
      <c r="A1460" s="47">
        <v>67</v>
      </c>
      <c r="B1460" s="47" t="s">
        <v>1221</v>
      </c>
      <c r="C1460" s="47" t="s">
        <v>1222</v>
      </c>
      <c r="D1460" s="47">
        <v>2006</v>
      </c>
      <c r="E1460" s="47">
        <v>2002</v>
      </c>
      <c r="F1460" s="47" t="s">
        <v>193</v>
      </c>
      <c r="G1460" s="47" t="s">
        <v>1223</v>
      </c>
      <c r="H1460" s="47">
        <v>40.1</v>
      </c>
      <c r="I1460" s="47">
        <v>-88.25</v>
      </c>
      <c r="J1460" s="47">
        <v>235.6</v>
      </c>
      <c r="P1460" s="82" t="s">
        <v>179</v>
      </c>
      <c r="Q1460" s="82" t="s">
        <v>1057</v>
      </c>
      <c r="R1460" s="82" t="s">
        <v>1225</v>
      </c>
      <c r="S1460" s="82" t="s">
        <v>1666</v>
      </c>
      <c r="T1460" s="82" t="s">
        <v>1654</v>
      </c>
      <c r="X1460" s="47" t="s">
        <v>175</v>
      </c>
      <c r="AB1460" s="47" t="s">
        <v>1556</v>
      </c>
      <c r="AC1460" s="47" t="s">
        <v>166</v>
      </c>
      <c r="AD1460" s="153" t="str">
        <f t="shared" si="263"/>
        <v>Rye</v>
      </c>
      <c r="AE1460" s="47" t="s">
        <v>167</v>
      </c>
      <c r="AG1460" s="47" t="s">
        <v>1206</v>
      </c>
      <c r="AH1460" s="47" t="s">
        <v>1206</v>
      </c>
      <c r="AI1460" s="47" t="s">
        <v>230</v>
      </c>
      <c r="AJ1460" s="47" t="s">
        <v>203</v>
      </c>
      <c r="AK1460" s="47" t="s">
        <v>203</v>
      </c>
      <c r="AL1460" s="47" t="s">
        <v>230</v>
      </c>
      <c r="AM1460" s="47" t="s">
        <v>1224</v>
      </c>
      <c r="AN1460" s="47" t="s">
        <v>1224</v>
      </c>
      <c r="AO1460" s="47" t="s">
        <v>230</v>
      </c>
      <c r="AP1460" s="47" t="s">
        <v>154</v>
      </c>
      <c r="AQ1460" s="47">
        <v>4</v>
      </c>
      <c r="AR1460" s="47">
        <v>4</v>
      </c>
      <c r="AS1460" s="47" t="s">
        <v>404</v>
      </c>
      <c r="BE1460" s="47">
        <v>1.4</v>
      </c>
      <c r="BF1460" s="47">
        <v>1.38</v>
      </c>
      <c r="BH1460" s="47">
        <v>3.3</v>
      </c>
      <c r="BI1460" s="47">
        <v>3.5</v>
      </c>
      <c r="BJ1460" s="47" t="s">
        <v>1226</v>
      </c>
      <c r="BK1460" s="47">
        <v>24.8</v>
      </c>
      <c r="BL1460" s="47">
        <v>29.1</v>
      </c>
      <c r="BM1460" s="47" t="s">
        <v>1229</v>
      </c>
      <c r="BN1460" s="47">
        <v>36.4</v>
      </c>
      <c r="BO1460" s="47">
        <v>34.4</v>
      </c>
      <c r="CF1460" s="47">
        <v>38</v>
      </c>
      <c r="CG1460" s="47">
        <v>43</v>
      </c>
      <c r="CH1460" s="47" t="s">
        <v>1208</v>
      </c>
      <c r="CI1460" s="47">
        <v>39</v>
      </c>
      <c r="CJ1460" s="47">
        <v>40.299999999999997</v>
      </c>
      <c r="CK1460" s="47" t="s">
        <v>1238</v>
      </c>
      <c r="CL1460" s="47">
        <v>1.84</v>
      </c>
      <c r="CM1460" s="47">
        <v>1.653</v>
      </c>
      <c r="CN1460" s="47" t="s">
        <v>1230</v>
      </c>
      <c r="DJ1460" s="47">
        <v>24.3</v>
      </c>
      <c r="DK1460" s="47">
        <v>25.6</v>
      </c>
      <c r="DL1460" s="47" t="s">
        <v>1239</v>
      </c>
      <c r="FC1460" s="47">
        <v>67</v>
      </c>
    </row>
    <row r="1461" spans="1:159" s="47" customFormat="1" x14ac:dyDescent="0.25">
      <c r="A1461" s="47">
        <v>67</v>
      </c>
      <c r="B1461" s="47" t="s">
        <v>1221</v>
      </c>
      <c r="C1461" s="47" t="s">
        <v>1222</v>
      </c>
      <c r="D1461" s="47">
        <v>2006</v>
      </c>
      <c r="E1461" s="47">
        <v>2002</v>
      </c>
      <c r="F1461" s="47" t="s">
        <v>193</v>
      </c>
      <c r="G1461" s="47" t="s">
        <v>1223</v>
      </c>
      <c r="H1461" s="47">
        <v>40.1</v>
      </c>
      <c r="I1461" s="47">
        <v>-88.25</v>
      </c>
      <c r="J1461" s="47">
        <v>235.6</v>
      </c>
      <c r="P1461" s="82" t="s">
        <v>179</v>
      </c>
      <c r="Q1461" s="82" t="s">
        <v>1057</v>
      </c>
      <c r="R1461" s="82" t="s">
        <v>1225</v>
      </c>
      <c r="S1461" s="82" t="s">
        <v>1674</v>
      </c>
      <c r="T1461" s="82" t="s">
        <v>1654</v>
      </c>
      <c r="X1461" s="47" t="s">
        <v>175</v>
      </c>
      <c r="AB1461" s="47" t="s">
        <v>1556</v>
      </c>
      <c r="AC1461" s="47" t="s">
        <v>166</v>
      </c>
      <c r="AD1461" s="153" t="str">
        <f t="shared" si="263"/>
        <v>Rye</v>
      </c>
      <c r="AE1461" s="47" t="s">
        <v>167</v>
      </c>
      <c r="AG1461" s="47" t="s">
        <v>1206</v>
      </c>
      <c r="AH1461" s="47" t="s">
        <v>1206</v>
      </c>
      <c r="AI1461" s="47" t="s">
        <v>230</v>
      </c>
      <c r="AJ1461" s="47" t="s">
        <v>203</v>
      </c>
      <c r="AK1461" s="47" t="s">
        <v>203</v>
      </c>
      <c r="AL1461" s="47" t="s">
        <v>230</v>
      </c>
      <c r="AM1461" s="47" t="s">
        <v>1224</v>
      </c>
      <c r="AN1461" s="47" t="s">
        <v>1224</v>
      </c>
      <c r="AO1461" s="47" t="s">
        <v>230</v>
      </c>
      <c r="AP1461" s="47" t="s">
        <v>154</v>
      </c>
      <c r="AQ1461" s="47">
        <v>4</v>
      </c>
      <c r="AR1461" s="47">
        <v>4</v>
      </c>
      <c r="AS1461" s="47" t="s">
        <v>404</v>
      </c>
      <c r="BE1461" s="47">
        <v>1.45</v>
      </c>
      <c r="BF1461" s="47">
        <v>1.46</v>
      </c>
      <c r="BH1461" s="47">
        <v>3.1</v>
      </c>
      <c r="BI1461" s="47">
        <v>3.3</v>
      </c>
      <c r="BJ1461" s="47" t="s">
        <v>1226</v>
      </c>
      <c r="BK1461" s="47">
        <v>32.700000000000003</v>
      </c>
      <c r="BL1461" s="47">
        <v>26.7</v>
      </c>
      <c r="BM1461" s="47" t="s">
        <v>1229</v>
      </c>
      <c r="BN1461" s="47">
        <v>36.4</v>
      </c>
      <c r="BO1461" s="47">
        <v>31.2</v>
      </c>
      <c r="CF1461" s="47">
        <v>38</v>
      </c>
      <c r="CG1461" s="47">
        <v>44</v>
      </c>
      <c r="CH1461" s="47" t="s">
        <v>1208</v>
      </c>
      <c r="CI1461" s="47">
        <v>39</v>
      </c>
      <c r="CJ1461" s="47">
        <v>41.3</v>
      </c>
      <c r="CK1461" s="47" t="s">
        <v>1238</v>
      </c>
      <c r="CL1461" s="47">
        <v>1.744</v>
      </c>
      <c r="CM1461" s="47">
        <v>1.746</v>
      </c>
      <c r="CN1461" s="47" t="s">
        <v>1230</v>
      </c>
      <c r="DJ1461" s="47">
        <v>24.3</v>
      </c>
      <c r="DK1461" s="47">
        <v>26.4</v>
      </c>
      <c r="DL1461" s="47" t="s">
        <v>1239</v>
      </c>
      <c r="FC1461" s="47">
        <v>67</v>
      </c>
    </row>
    <row r="1462" spans="1:159" s="47" customFormat="1" x14ac:dyDescent="0.25">
      <c r="A1462" s="47">
        <v>67</v>
      </c>
      <c r="B1462" s="47" t="s">
        <v>1221</v>
      </c>
      <c r="C1462" s="47" t="s">
        <v>1222</v>
      </c>
      <c r="D1462" s="47">
        <v>2006</v>
      </c>
      <c r="E1462" s="47">
        <v>2002</v>
      </c>
      <c r="F1462" s="47" t="s">
        <v>193</v>
      </c>
      <c r="G1462" s="47" t="s">
        <v>1223</v>
      </c>
      <c r="H1462" s="47">
        <v>40.1</v>
      </c>
      <c r="I1462" s="47">
        <v>-88.25</v>
      </c>
      <c r="J1462" s="47">
        <v>235.6</v>
      </c>
      <c r="P1462" s="82" t="s">
        <v>179</v>
      </c>
      <c r="Q1462" s="82" t="s">
        <v>1057</v>
      </c>
      <c r="R1462" s="82" t="s">
        <v>1225</v>
      </c>
      <c r="S1462" s="82" t="s">
        <v>1655</v>
      </c>
      <c r="T1462" s="82" t="s">
        <v>1654</v>
      </c>
      <c r="X1462" s="47" t="s">
        <v>175</v>
      </c>
      <c r="AB1462" s="47" t="s">
        <v>1556</v>
      </c>
      <c r="AC1462" s="47" t="s">
        <v>166</v>
      </c>
      <c r="AD1462" s="153" t="str">
        <f t="shared" si="263"/>
        <v>Rye</v>
      </c>
      <c r="AE1462" s="47" t="s">
        <v>167</v>
      </c>
      <c r="AG1462" s="47" t="s">
        <v>1206</v>
      </c>
      <c r="AH1462" s="47" t="s">
        <v>1206</v>
      </c>
      <c r="AI1462" s="47" t="s">
        <v>230</v>
      </c>
      <c r="AJ1462" s="47" t="s">
        <v>203</v>
      </c>
      <c r="AK1462" s="47" t="s">
        <v>203</v>
      </c>
      <c r="AL1462" s="47" t="s">
        <v>230</v>
      </c>
      <c r="AM1462" s="47" t="s">
        <v>1224</v>
      </c>
      <c r="AN1462" s="47" t="s">
        <v>1224</v>
      </c>
      <c r="AO1462" s="47" t="s">
        <v>230</v>
      </c>
      <c r="AP1462" s="47" t="s">
        <v>154</v>
      </c>
      <c r="AQ1462" s="47">
        <v>4</v>
      </c>
      <c r="AR1462" s="47">
        <v>4</v>
      </c>
      <c r="AS1462" s="47" t="s">
        <v>404</v>
      </c>
      <c r="BE1462" s="47">
        <v>1.45</v>
      </c>
      <c r="BF1462" s="47">
        <v>1.44</v>
      </c>
      <c r="BH1462" s="47">
        <v>3.5</v>
      </c>
      <c r="BI1462" s="47">
        <v>3.6</v>
      </c>
      <c r="BJ1462" s="47" t="s">
        <v>1226</v>
      </c>
      <c r="BK1462" s="47">
        <v>17.600000000000001</v>
      </c>
      <c r="BL1462" s="47">
        <v>26.7</v>
      </c>
      <c r="BM1462" s="47" t="s">
        <v>1229</v>
      </c>
      <c r="CL1462" s="47">
        <v>1.629</v>
      </c>
      <c r="CM1462" s="47">
        <v>1.744</v>
      </c>
      <c r="CN1462" s="47" t="s">
        <v>1230</v>
      </c>
      <c r="FC1462" s="47">
        <v>67</v>
      </c>
    </row>
    <row r="1463" spans="1:159" s="26" customFormat="1" x14ac:dyDescent="0.25">
      <c r="A1463" s="26">
        <v>67</v>
      </c>
      <c r="B1463" s="26" t="s">
        <v>1221</v>
      </c>
      <c r="C1463" s="26" t="s">
        <v>1222</v>
      </c>
      <c r="D1463" s="26">
        <v>2006</v>
      </c>
      <c r="E1463" s="26">
        <v>2002</v>
      </c>
      <c r="F1463" s="26" t="s">
        <v>193</v>
      </c>
      <c r="G1463" s="26" t="s">
        <v>1223</v>
      </c>
      <c r="H1463" s="26">
        <v>40.1</v>
      </c>
      <c r="I1463" s="26">
        <v>-88.25</v>
      </c>
      <c r="J1463" s="26">
        <v>235.6</v>
      </c>
      <c r="P1463" s="52" t="s">
        <v>179</v>
      </c>
      <c r="Q1463" s="52" t="s">
        <v>1057</v>
      </c>
      <c r="R1463" s="52" t="s">
        <v>1225</v>
      </c>
      <c r="S1463" s="52" t="s">
        <v>1659</v>
      </c>
      <c r="T1463" s="52" t="s">
        <v>1654</v>
      </c>
      <c r="X1463" s="26" t="s">
        <v>175</v>
      </c>
      <c r="AB1463" s="26" t="s">
        <v>1556</v>
      </c>
      <c r="AC1463" s="26" t="s">
        <v>301</v>
      </c>
      <c r="AD1463" s="153" t="str">
        <f t="shared" si="263"/>
        <v>Vetch</v>
      </c>
      <c r="AE1463" s="26" t="s">
        <v>167</v>
      </c>
      <c r="AG1463" s="26" t="s">
        <v>1206</v>
      </c>
      <c r="AH1463" s="26" t="s">
        <v>1206</v>
      </c>
      <c r="AI1463" s="26" t="s">
        <v>230</v>
      </c>
      <c r="AJ1463" s="26" t="s">
        <v>203</v>
      </c>
      <c r="AK1463" s="26" t="s">
        <v>203</v>
      </c>
      <c r="AL1463" s="26" t="s">
        <v>230</v>
      </c>
      <c r="AM1463" s="26" t="s">
        <v>1224</v>
      </c>
      <c r="AN1463" s="26" t="s">
        <v>1224</v>
      </c>
      <c r="AO1463" s="26" t="s">
        <v>230</v>
      </c>
      <c r="AP1463" s="26" t="s">
        <v>154</v>
      </c>
      <c r="AQ1463" s="26">
        <v>4</v>
      </c>
      <c r="AR1463" s="26">
        <v>4</v>
      </c>
      <c r="AS1463" s="26" t="s">
        <v>404</v>
      </c>
      <c r="BE1463" s="26">
        <v>1.32</v>
      </c>
      <c r="BF1463" s="26">
        <v>1.23</v>
      </c>
      <c r="BH1463" s="26">
        <v>4.2</v>
      </c>
      <c r="BI1463" s="26">
        <v>4.5</v>
      </c>
      <c r="BJ1463" s="26" t="s">
        <v>1226</v>
      </c>
      <c r="BK1463" s="26">
        <v>27.7</v>
      </c>
      <c r="BL1463" s="26">
        <v>21.8</v>
      </c>
      <c r="BM1463" s="26" t="s">
        <v>1229</v>
      </c>
      <c r="CL1463" s="26">
        <v>1.4119999999999999</v>
      </c>
      <c r="CM1463" s="26">
        <v>1.006</v>
      </c>
      <c r="CN1463" s="26" t="s">
        <v>1230</v>
      </c>
      <c r="FC1463" s="26">
        <v>67</v>
      </c>
    </row>
    <row r="1464" spans="1:159" s="26" customFormat="1" x14ac:dyDescent="0.25">
      <c r="A1464" s="26">
        <v>67</v>
      </c>
      <c r="B1464" s="26" t="s">
        <v>1221</v>
      </c>
      <c r="C1464" s="26" t="s">
        <v>1222</v>
      </c>
      <c r="D1464" s="26">
        <v>2006</v>
      </c>
      <c r="E1464" s="26">
        <v>2002</v>
      </c>
      <c r="F1464" s="26" t="s">
        <v>193</v>
      </c>
      <c r="G1464" s="26" t="s">
        <v>1223</v>
      </c>
      <c r="H1464" s="26">
        <v>40.1</v>
      </c>
      <c r="I1464" s="26">
        <v>-88.25</v>
      </c>
      <c r="J1464" s="26">
        <v>235.6</v>
      </c>
      <c r="P1464" s="52" t="s">
        <v>179</v>
      </c>
      <c r="Q1464" s="52" t="s">
        <v>1057</v>
      </c>
      <c r="R1464" s="52" t="s">
        <v>1225</v>
      </c>
      <c r="S1464" s="52" t="s">
        <v>1666</v>
      </c>
      <c r="T1464" s="52" t="s">
        <v>1654</v>
      </c>
      <c r="X1464" s="26" t="s">
        <v>175</v>
      </c>
      <c r="AB1464" s="26" t="s">
        <v>1556</v>
      </c>
      <c r="AC1464" s="26" t="s">
        <v>301</v>
      </c>
      <c r="AD1464" s="153" t="str">
        <f t="shared" si="263"/>
        <v>Vetch</v>
      </c>
      <c r="AE1464" s="26" t="s">
        <v>167</v>
      </c>
      <c r="AG1464" s="26" t="s">
        <v>1206</v>
      </c>
      <c r="AH1464" s="26" t="s">
        <v>1206</v>
      </c>
      <c r="AI1464" s="26" t="s">
        <v>230</v>
      </c>
      <c r="AJ1464" s="26" t="s">
        <v>203</v>
      </c>
      <c r="AK1464" s="26" t="s">
        <v>203</v>
      </c>
      <c r="AL1464" s="26" t="s">
        <v>230</v>
      </c>
      <c r="AM1464" s="26" t="s">
        <v>1224</v>
      </c>
      <c r="AN1464" s="26" t="s">
        <v>1224</v>
      </c>
      <c r="AO1464" s="26" t="s">
        <v>230</v>
      </c>
      <c r="AP1464" s="26" t="s">
        <v>154</v>
      </c>
      <c r="AQ1464" s="26">
        <v>4</v>
      </c>
      <c r="AR1464" s="26">
        <v>4</v>
      </c>
      <c r="AS1464" s="26" t="s">
        <v>404</v>
      </c>
      <c r="BE1464" s="26">
        <v>1.4</v>
      </c>
      <c r="BF1464" s="26">
        <v>1.35</v>
      </c>
      <c r="BH1464" s="26">
        <v>3.3</v>
      </c>
      <c r="BI1464" s="26">
        <v>3.6</v>
      </c>
      <c r="BJ1464" s="26" t="s">
        <v>1226</v>
      </c>
      <c r="BK1464" s="26">
        <v>24.8</v>
      </c>
      <c r="BL1464" s="26">
        <v>17.5</v>
      </c>
      <c r="BM1464" s="26" t="s">
        <v>1229</v>
      </c>
      <c r="CL1464" s="26">
        <v>1.84</v>
      </c>
      <c r="CM1464" s="26">
        <v>1.7410000000000001</v>
      </c>
      <c r="CN1464" s="26" t="s">
        <v>1230</v>
      </c>
      <c r="FC1464" s="26">
        <v>67</v>
      </c>
    </row>
    <row r="1465" spans="1:159" s="26" customFormat="1" x14ac:dyDescent="0.25">
      <c r="A1465" s="26">
        <v>67</v>
      </c>
      <c r="B1465" s="26" t="s">
        <v>1221</v>
      </c>
      <c r="C1465" s="26" t="s">
        <v>1222</v>
      </c>
      <c r="D1465" s="26">
        <v>2006</v>
      </c>
      <c r="E1465" s="26">
        <v>2002</v>
      </c>
      <c r="F1465" s="26" t="s">
        <v>193</v>
      </c>
      <c r="G1465" s="26" t="s">
        <v>1223</v>
      </c>
      <c r="H1465" s="26">
        <v>40.1</v>
      </c>
      <c r="I1465" s="26">
        <v>-88.25</v>
      </c>
      <c r="J1465" s="26">
        <v>235.6</v>
      </c>
      <c r="P1465" s="52" t="s">
        <v>179</v>
      </c>
      <c r="Q1465" s="52" t="s">
        <v>1057</v>
      </c>
      <c r="R1465" s="52" t="s">
        <v>1225</v>
      </c>
      <c r="S1465" s="52" t="s">
        <v>1674</v>
      </c>
      <c r="T1465" s="52" t="s">
        <v>1654</v>
      </c>
      <c r="X1465" s="26" t="s">
        <v>175</v>
      </c>
      <c r="AB1465" s="26" t="s">
        <v>1556</v>
      </c>
      <c r="AC1465" s="26" t="s">
        <v>301</v>
      </c>
      <c r="AD1465" s="153" t="str">
        <f t="shared" si="263"/>
        <v>Vetch</v>
      </c>
      <c r="AE1465" s="26" t="s">
        <v>167</v>
      </c>
      <c r="AG1465" s="26" t="s">
        <v>1206</v>
      </c>
      <c r="AH1465" s="26" t="s">
        <v>1206</v>
      </c>
      <c r="AI1465" s="26" t="s">
        <v>230</v>
      </c>
      <c r="AJ1465" s="26" t="s">
        <v>203</v>
      </c>
      <c r="AK1465" s="26" t="s">
        <v>203</v>
      </c>
      <c r="AL1465" s="26" t="s">
        <v>230</v>
      </c>
      <c r="AM1465" s="26" t="s">
        <v>1224</v>
      </c>
      <c r="AN1465" s="26" t="s">
        <v>1224</v>
      </c>
      <c r="AO1465" s="26" t="s">
        <v>230</v>
      </c>
      <c r="AP1465" s="26" t="s">
        <v>154</v>
      </c>
      <c r="AQ1465" s="26">
        <v>4</v>
      </c>
      <c r="AR1465" s="26">
        <v>4</v>
      </c>
      <c r="AS1465" s="26" t="s">
        <v>404</v>
      </c>
      <c r="BE1465" s="26">
        <v>1.45</v>
      </c>
      <c r="BF1465" s="26">
        <v>1.5</v>
      </c>
      <c r="BH1465" s="26">
        <v>3.1</v>
      </c>
      <c r="BI1465" s="26">
        <v>3.4</v>
      </c>
      <c r="BJ1465" s="26" t="s">
        <v>1226</v>
      </c>
      <c r="BK1465" s="26">
        <v>32.700000000000003</v>
      </c>
      <c r="BL1465" s="26">
        <v>15.9</v>
      </c>
      <c r="BM1465" s="26" t="s">
        <v>1229</v>
      </c>
      <c r="CL1465" s="26">
        <v>1.744</v>
      </c>
      <c r="CM1465" s="26">
        <v>1.859</v>
      </c>
      <c r="CN1465" s="26" t="s">
        <v>1230</v>
      </c>
      <c r="FC1465" s="26">
        <v>67</v>
      </c>
    </row>
    <row r="1466" spans="1:159" s="26" customFormat="1" x14ac:dyDescent="0.25">
      <c r="A1466" s="26">
        <v>67</v>
      </c>
      <c r="B1466" s="26" t="s">
        <v>1221</v>
      </c>
      <c r="C1466" s="26" t="s">
        <v>1222</v>
      </c>
      <c r="D1466" s="26">
        <v>2006</v>
      </c>
      <c r="E1466" s="26">
        <v>2002</v>
      </c>
      <c r="F1466" s="26" t="s">
        <v>193</v>
      </c>
      <c r="G1466" s="26" t="s">
        <v>1223</v>
      </c>
      <c r="H1466" s="26">
        <v>40.1</v>
      </c>
      <c r="I1466" s="26">
        <v>-88.25</v>
      </c>
      <c r="J1466" s="26">
        <v>235.6</v>
      </c>
      <c r="P1466" s="52" t="s">
        <v>179</v>
      </c>
      <c r="Q1466" s="52" t="s">
        <v>1057</v>
      </c>
      <c r="R1466" s="52" t="s">
        <v>1225</v>
      </c>
      <c r="S1466" s="52" t="s">
        <v>1655</v>
      </c>
      <c r="T1466" s="52" t="s">
        <v>1654</v>
      </c>
      <c r="X1466" s="26" t="s">
        <v>175</v>
      </c>
      <c r="AB1466" s="26" t="s">
        <v>1556</v>
      </c>
      <c r="AC1466" s="26" t="s">
        <v>301</v>
      </c>
      <c r="AD1466" s="153" t="str">
        <f t="shared" si="263"/>
        <v>Vetch</v>
      </c>
      <c r="AE1466" s="26" t="s">
        <v>167</v>
      </c>
      <c r="AG1466" s="26" t="s">
        <v>1206</v>
      </c>
      <c r="AH1466" s="26" t="s">
        <v>1206</v>
      </c>
      <c r="AI1466" s="26" t="s">
        <v>230</v>
      </c>
      <c r="AJ1466" s="26" t="s">
        <v>203</v>
      </c>
      <c r="AK1466" s="26" t="s">
        <v>203</v>
      </c>
      <c r="AL1466" s="26" t="s">
        <v>230</v>
      </c>
      <c r="AM1466" s="26" t="s">
        <v>1224</v>
      </c>
      <c r="AN1466" s="26" t="s">
        <v>1224</v>
      </c>
      <c r="AO1466" s="26" t="s">
        <v>230</v>
      </c>
      <c r="AP1466" s="26" t="s">
        <v>154</v>
      </c>
      <c r="AQ1466" s="26">
        <v>4</v>
      </c>
      <c r="AR1466" s="26">
        <v>4</v>
      </c>
      <c r="AS1466" s="26" t="s">
        <v>404</v>
      </c>
      <c r="BE1466" s="26">
        <v>1.45</v>
      </c>
      <c r="BF1466" s="26">
        <v>1.42</v>
      </c>
      <c r="BH1466" s="26">
        <v>3.5</v>
      </c>
      <c r="BI1466" s="26">
        <v>3.7</v>
      </c>
      <c r="BJ1466" s="26" t="s">
        <v>1226</v>
      </c>
      <c r="BK1466" s="26">
        <v>17.600000000000001</v>
      </c>
      <c r="BL1466" s="26">
        <v>17.399999999999999</v>
      </c>
      <c r="BM1466" s="26" t="s">
        <v>1229</v>
      </c>
      <c r="CL1466" s="26">
        <v>1.629</v>
      </c>
      <c r="CM1466" s="26">
        <v>1.756</v>
      </c>
      <c r="CN1466" s="26" t="s">
        <v>1230</v>
      </c>
      <c r="FC1466" s="26">
        <v>67</v>
      </c>
    </row>
    <row r="1467" spans="1:159" s="47" customFormat="1" x14ac:dyDescent="0.25">
      <c r="A1467" s="47">
        <v>67</v>
      </c>
      <c r="B1467" s="47" t="s">
        <v>1221</v>
      </c>
      <c r="C1467" s="47" t="s">
        <v>1222</v>
      </c>
      <c r="D1467" s="47">
        <v>2006</v>
      </c>
      <c r="E1467" s="47">
        <v>2002</v>
      </c>
      <c r="F1467" s="47" t="s">
        <v>193</v>
      </c>
      <c r="G1467" s="47" t="s">
        <v>1223</v>
      </c>
      <c r="H1467" s="47">
        <v>40.1</v>
      </c>
      <c r="I1467" s="47">
        <v>-88.25</v>
      </c>
      <c r="J1467" s="47">
        <v>235.6</v>
      </c>
      <c r="P1467" s="82" t="s">
        <v>179</v>
      </c>
      <c r="Q1467" s="82" t="s">
        <v>1057</v>
      </c>
      <c r="R1467" s="82" t="s">
        <v>1225</v>
      </c>
      <c r="S1467" s="82" t="s">
        <v>1659</v>
      </c>
      <c r="T1467" s="82" t="s">
        <v>1654</v>
      </c>
      <c r="X1467" s="47" t="s">
        <v>175</v>
      </c>
      <c r="AB1467" s="47" t="s">
        <v>1556</v>
      </c>
      <c r="AC1467" s="47" t="s">
        <v>1802</v>
      </c>
      <c r="AD1467" s="153" t="str">
        <f t="shared" si="263"/>
        <v>Rye/Vetch</v>
      </c>
      <c r="AE1467" s="47" t="s">
        <v>167</v>
      </c>
      <c r="AG1467" s="47" t="s">
        <v>1206</v>
      </c>
      <c r="AH1467" s="47" t="s">
        <v>1206</v>
      </c>
      <c r="AI1467" s="47" t="s">
        <v>230</v>
      </c>
      <c r="AJ1467" s="47" t="s">
        <v>203</v>
      </c>
      <c r="AK1467" s="47" t="s">
        <v>203</v>
      </c>
      <c r="AL1467" s="47" t="s">
        <v>230</v>
      </c>
      <c r="AM1467" s="47" t="s">
        <v>1224</v>
      </c>
      <c r="AN1467" s="47" t="s">
        <v>1224</v>
      </c>
      <c r="AO1467" s="47" t="s">
        <v>230</v>
      </c>
      <c r="AP1467" s="47" t="s">
        <v>154</v>
      </c>
      <c r="AQ1467" s="47">
        <v>4</v>
      </c>
      <c r="AR1467" s="47">
        <v>4</v>
      </c>
      <c r="AS1467" s="47" t="s">
        <v>404</v>
      </c>
      <c r="BE1467" s="47">
        <v>1.32</v>
      </c>
      <c r="BF1467" s="47">
        <v>1.23</v>
      </c>
      <c r="BH1467" s="47">
        <v>4.2</v>
      </c>
      <c r="BI1467" s="47">
        <v>4.7</v>
      </c>
      <c r="BJ1467" s="47" t="s">
        <v>1226</v>
      </c>
      <c r="BK1467" s="47">
        <v>27.7</v>
      </c>
      <c r="BL1467" s="47">
        <v>21.5</v>
      </c>
      <c r="BM1467" s="47" t="s">
        <v>1229</v>
      </c>
      <c r="CL1467" s="47">
        <v>1.4119999999999999</v>
      </c>
      <c r="CM1467" s="47">
        <v>1.2030000000000001</v>
      </c>
      <c r="CN1467" s="47" t="s">
        <v>1230</v>
      </c>
      <c r="FC1467" s="47">
        <v>67</v>
      </c>
    </row>
    <row r="1468" spans="1:159" s="47" customFormat="1" x14ac:dyDescent="0.25">
      <c r="A1468" s="47">
        <v>67</v>
      </c>
      <c r="B1468" s="47" t="s">
        <v>1221</v>
      </c>
      <c r="C1468" s="47" t="s">
        <v>1222</v>
      </c>
      <c r="D1468" s="47">
        <v>2006</v>
      </c>
      <c r="E1468" s="47">
        <v>2002</v>
      </c>
      <c r="F1468" s="47" t="s">
        <v>193</v>
      </c>
      <c r="G1468" s="47" t="s">
        <v>1223</v>
      </c>
      <c r="H1468" s="47">
        <v>40.1</v>
      </c>
      <c r="I1468" s="47">
        <v>-88.25</v>
      </c>
      <c r="J1468" s="47">
        <v>235.6</v>
      </c>
      <c r="P1468" s="82" t="s">
        <v>179</v>
      </c>
      <c r="Q1468" s="82" t="s">
        <v>1057</v>
      </c>
      <c r="R1468" s="82" t="s">
        <v>1225</v>
      </c>
      <c r="S1468" s="82" t="s">
        <v>1666</v>
      </c>
      <c r="T1468" s="82" t="s">
        <v>1654</v>
      </c>
      <c r="X1468" s="47" t="s">
        <v>175</v>
      </c>
      <c r="AB1468" s="47" t="s">
        <v>1556</v>
      </c>
      <c r="AC1468" s="47" t="s">
        <v>1802</v>
      </c>
      <c r="AD1468" s="153" t="str">
        <f t="shared" si="263"/>
        <v>Rye/Vetch</v>
      </c>
      <c r="AE1468" s="47" t="s">
        <v>167</v>
      </c>
      <c r="AG1468" s="47" t="s">
        <v>1206</v>
      </c>
      <c r="AH1468" s="47" t="s">
        <v>1206</v>
      </c>
      <c r="AI1468" s="47" t="s">
        <v>230</v>
      </c>
      <c r="AJ1468" s="47" t="s">
        <v>203</v>
      </c>
      <c r="AK1468" s="47" t="s">
        <v>203</v>
      </c>
      <c r="AL1468" s="47" t="s">
        <v>230</v>
      </c>
      <c r="AM1468" s="47" t="s">
        <v>1224</v>
      </c>
      <c r="AN1468" s="47" t="s">
        <v>1224</v>
      </c>
      <c r="AO1468" s="47" t="s">
        <v>230</v>
      </c>
      <c r="AP1468" s="47" t="s">
        <v>154</v>
      </c>
      <c r="AQ1468" s="47">
        <v>4</v>
      </c>
      <c r="AR1468" s="47">
        <v>4</v>
      </c>
      <c r="AS1468" s="47" t="s">
        <v>404</v>
      </c>
      <c r="BE1468" s="47">
        <v>1.4</v>
      </c>
      <c r="BF1468" s="47">
        <v>1.36</v>
      </c>
      <c r="BH1468" s="47">
        <v>3.3</v>
      </c>
      <c r="BI1468" s="47">
        <v>3.8</v>
      </c>
      <c r="BJ1468" s="47" t="s">
        <v>1226</v>
      </c>
      <c r="BK1468" s="47">
        <v>24.8</v>
      </c>
      <c r="BL1468" s="47">
        <v>28.6</v>
      </c>
      <c r="BM1468" s="47" t="s">
        <v>1229</v>
      </c>
      <c r="CL1468" s="47">
        <v>1.84</v>
      </c>
      <c r="CM1468" s="47">
        <v>1.7809999999999999</v>
      </c>
      <c r="CN1468" s="47" t="s">
        <v>1230</v>
      </c>
      <c r="FC1468" s="47">
        <v>67</v>
      </c>
    </row>
    <row r="1469" spans="1:159" s="47" customFormat="1" x14ac:dyDescent="0.25">
      <c r="A1469" s="47">
        <v>67</v>
      </c>
      <c r="B1469" s="47" t="s">
        <v>1221</v>
      </c>
      <c r="C1469" s="47" t="s">
        <v>1222</v>
      </c>
      <c r="D1469" s="47">
        <v>2006</v>
      </c>
      <c r="E1469" s="47">
        <v>2002</v>
      </c>
      <c r="F1469" s="47" t="s">
        <v>193</v>
      </c>
      <c r="G1469" s="47" t="s">
        <v>1223</v>
      </c>
      <c r="H1469" s="47">
        <v>40.1</v>
      </c>
      <c r="I1469" s="47">
        <v>-88.25</v>
      </c>
      <c r="J1469" s="47">
        <v>235.6</v>
      </c>
      <c r="P1469" s="82" t="s">
        <v>179</v>
      </c>
      <c r="Q1469" s="82" t="s">
        <v>1057</v>
      </c>
      <c r="R1469" s="82" t="s">
        <v>1225</v>
      </c>
      <c r="S1469" s="82" t="s">
        <v>1674</v>
      </c>
      <c r="T1469" s="82" t="s">
        <v>1654</v>
      </c>
      <c r="X1469" s="47" t="s">
        <v>175</v>
      </c>
      <c r="AB1469" s="47" t="s">
        <v>1556</v>
      </c>
      <c r="AC1469" s="47" t="s">
        <v>1802</v>
      </c>
      <c r="AD1469" s="153" t="str">
        <f t="shared" si="263"/>
        <v>Rye/Vetch</v>
      </c>
      <c r="AE1469" s="47" t="s">
        <v>167</v>
      </c>
      <c r="AG1469" s="47" t="s">
        <v>1206</v>
      </c>
      <c r="AH1469" s="47" t="s">
        <v>1206</v>
      </c>
      <c r="AI1469" s="47" t="s">
        <v>230</v>
      </c>
      <c r="AJ1469" s="47" t="s">
        <v>203</v>
      </c>
      <c r="AK1469" s="47" t="s">
        <v>203</v>
      </c>
      <c r="AL1469" s="47" t="s">
        <v>230</v>
      </c>
      <c r="AM1469" s="47" t="s">
        <v>1224</v>
      </c>
      <c r="AN1469" s="47" t="s">
        <v>1224</v>
      </c>
      <c r="AO1469" s="47" t="s">
        <v>230</v>
      </c>
      <c r="AP1469" s="47" t="s">
        <v>154</v>
      </c>
      <c r="AQ1469" s="47">
        <v>4</v>
      </c>
      <c r="AR1469" s="47">
        <v>4</v>
      </c>
      <c r="AS1469" s="47" t="s">
        <v>404</v>
      </c>
      <c r="BE1469" s="47">
        <v>1.45</v>
      </c>
      <c r="BF1469" s="47">
        <v>1.43</v>
      </c>
      <c r="BH1469" s="47">
        <v>3.1</v>
      </c>
      <c r="BI1469" s="47">
        <v>3.6</v>
      </c>
      <c r="BJ1469" s="47" t="s">
        <v>1226</v>
      </c>
      <c r="BK1469" s="47">
        <v>32.700000000000003</v>
      </c>
      <c r="BL1469" s="47">
        <v>29.9</v>
      </c>
      <c r="BM1469" s="47" t="s">
        <v>1229</v>
      </c>
      <c r="CL1469" s="47">
        <v>1.744</v>
      </c>
      <c r="CM1469" s="47">
        <v>1.867</v>
      </c>
      <c r="CN1469" s="47" t="s">
        <v>1230</v>
      </c>
      <c r="FC1469" s="47">
        <v>67</v>
      </c>
    </row>
    <row r="1470" spans="1:159" s="47" customFormat="1" x14ac:dyDescent="0.25">
      <c r="A1470" s="47">
        <v>67</v>
      </c>
      <c r="B1470" s="47" t="s">
        <v>1221</v>
      </c>
      <c r="C1470" s="47" t="s">
        <v>1222</v>
      </c>
      <c r="D1470" s="47">
        <v>2006</v>
      </c>
      <c r="E1470" s="47">
        <v>2002</v>
      </c>
      <c r="F1470" s="47" t="s">
        <v>193</v>
      </c>
      <c r="G1470" s="47" t="s">
        <v>1223</v>
      </c>
      <c r="H1470" s="47">
        <v>40.1</v>
      </c>
      <c r="I1470" s="47">
        <v>-88.25</v>
      </c>
      <c r="J1470" s="47">
        <v>235.6</v>
      </c>
      <c r="P1470" s="82" t="s">
        <v>179</v>
      </c>
      <c r="Q1470" s="82" t="s">
        <v>1057</v>
      </c>
      <c r="R1470" s="82" t="s">
        <v>1225</v>
      </c>
      <c r="S1470" s="82" t="s">
        <v>1655</v>
      </c>
      <c r="T1470" s="82" t="s">
        <v>1654</v>
      </c>
      <c r="X1470" s="47" t="s">
        <v>175</v>
      </c>
      <c r="AB1470" s="47" t="s">
        <v>1556</v>
      </c>
      <c r="AC1470" s="47" t="s">
        <v>1802</v>
      </c>
      <c r="AD1470" s="153" t="str">
        <f t="shared" si="263"/>
        <v>Rye/Vetch</v>
      </c>
      <c r="AE1470" s="47" t="s">
        <v>167</v>
      </c>
      <c r="AG1470" s="47" t="s">
        <v>1206</v>
      </c>
      <c r="AH1470" s="47" t="s">
        <v>1206</v>
      </c>
      <c r="AI1470" s="47" t="s">
        <v>230</v>
      </c>
      <c r="AJ1470" s="47" t="s">
        <v>203</v>
      </c>
      <c r="AK1470" s="47" t="s">
        <v>203</v>
      </c>
      <c r="AL1470" s="47" t="s">
        <v>230</v>
      </c>
      <c r="AM1470" s="47" t="s">
        <v>1224</v>
      </c>
      <c r="AN1470" s="47" t="s">
        <v>1224</v>
      </c>
      <c r="AO1470" s="47" t="s">
        <v>230</v>
      </c>
      <c r="AP1470" s="47" t="s">
        <v>154</v>
      </c>
      <c r="AQ1470" s="47">
        <v>4</v>
      </c>
      <c r="AR1470" s="47">
        <v>4</v>
      </c>
      <c r="AS1470" s="47" t="s">
        <v>404</v>
      </c>
      <c r="BE1470" s="47">
        <v>1.45</v>
      </c>
      <c r="BF1470" s="47">
        <v>1.39</v>
      </c>
      <c r="BH1470" s="47">
        <v>3.5</v>
      </c>
      <c r="BI1470" s="47">
        <v>3.7</v>
      </c>
      <c r="BJ1470" s="47" t="s">
        <v>1226</v>
      </c>
      <c r="BK1470" s="47">
        <v>17.600000000000001</v>
      </c>
      <c r="BL1470" s="47">
        <v>20.100000000000001</v>
      </c>
      <c r="BM1470" s="47" t="s">
        <v>1229</v>
      </c>
      <c r="CL1470" s="47">
        <v>1.629</v>
      </c>
      <c r="CM1470" s="47">
        <v>1.821</v>
      </c>
      <c r="CN1470" s="47" t="s">
        <v>1230</v>
      </c>
      <c r="FC1470" s="47">
        <v>67</v>
      </c>
    </row>
    <row r="1471" spans="1:159" s="35" customFormat="1" x14ac:dyDescent="0.25">
      <c r="A1471" s="35">
        <v>67</v>
      </c>
      <c r="B1471" s="35" t="s">
        <v>1221</v>
      </c>
      <c r="C1471" s="35" t="s">
        <v>1222</v>
      </c>
      <c r="D1471" s="35">
        <v>2006</v>
      </c>
      <c r="E1471" s="35">
        <v>2002</v>
      </c>
      <c r="F1471" s="35" t="s">
        <v>193</v>
      </c>
      <c r="G1471" s="35" t="s">
        <v>1223</v>
      </c>
      <c r="H1471" s="35">
        <v>40.1</v>
      </c>
      <c r="I1471" s="35">
        <v>-88.25</v>
      </c>
      <c r="J1471" s="35">
        <v>235.6</v>
      </c>
      <c r="P1471" s="54" t="s">
        <v>179</v>
      </c>
      <c r="Q1471" s="54" t="s">
        <v>1057</v>
      </c>
      <c r="R1471" s="54" t="s">
        <v>1228</v>
      </c>
      <c r="S1471" s="54" t="s">
        <v>1659</v>
      </c>
      <c r="T1471" s="52" t="s">
        <v>1654</v>
      </c>
      <c r="X1471" s="35" t="s">
        <v>175</v>
      </c>
      <c r="AB1471" s="35" t="s">
        <v>1556</v>
      </c>
      <c r="AC1471" s="35" t="s">
        <v>166</v>
      </c>
      <c r="AD1471" s="153" t="str">
        <f t="shared" si="263"/>
        <v>Rye</v>
      </c>
      <c r="AE1471" s="35" t="s">
        <v>205</v>
      </c>
      <c r="AG1471" s="35" t="s">
        <v>1206</v>
      </c>
      <c r="AH1471" s="35" t="s">
        <v>1206</v>
      </c>
      <c r="AI1471" s="35" t="s">
        <v>230</v>
      </c>
      <c r="AJ1471" s="35" t="s">
        <v>203</v>
      </c>
      <c r="AK1471" s="35" t="s">
        <v>203</v>
      </c>
      <c r="AL1471" s="35" t="s">
        <v>230</v>
      </c>
      <c r="AM1471" s="35" t="s">
        <v>1224</v>
      </c>
      <c r="AN1471" s="35" t="s">
        <v>1224</v>
      </c>
      <c r="AO1471" s="35" t="s">
        <v>230</v>
      </c>
      <c r="AP1471" s="35" t="s">
        <v>154</v>
      </c>
      <c r="AQ1471" s="35">
        <v>4</v>
      </c>
      <c r="AR1471" s="35">
        <v>4</v>
      </c>
      <c r="AS1471" s="35" t="s">
        <v>404</v>
      </c>
      <c r="BE1471" s="35">
        <v>1.32</v>
      </c>
      <c r="BF1471" s="35">
        <v>1.24</v>
      </c>
      <c r="BH1471" s="35">
        <v>4</v>
      </c>
      <c r="BI1471" s="35">
        <v>4.4000000000000004</v>
      </c>
      <c r="BJ1471" s="35" t="s">
        <v>1226</v>
      </c>
      <c r="BK1471" s="35">
        <v>13.3</v>
      </c>
      <c r="BL1471" s="35">
        <v>9.1999999999999993</v>
      </c>
      <c r="BM1471" s="35" t="s">
        <v>1229</v>
      </c>
      <c r="CL1471" s="35">
        <v>1.337</v>
      </c>
      <c r="CM1471" s="35">
        <v>1.198</v>
      </c>
      <c r="CN1471" s="35" t="s">
        <v>1230</v>
      </c>
      <c r="FC1471" s="35">
        <v>67</v>
      </c>
    </row>
    <row r="1472" spans="1:159" s="35" customFormat="1" x14ac:dyDescent="0.25">
      <c r="A1472" s="35">
        <v>67</v>
      </c>
      <c r="B1472" s="35" t="s">
        <v>1221</v>
      </c>
      <c r="C1472" s="35" t="s">
        <v>1222</v>
      </c>
      <c r="D1472" s="35">
        <v>2006</v>
      </c>
      <c r="E1472" s="35">
        <v>2002</v>
      </c>
      <c r="F1472" s="35" t="s">
        <v>193</v>
      </c>
      <c r="G1472" s="35" t="s">
        <v>1223</v>
      </c>
      <c r="H1472" s="35">
        <v>40.1</v>
      </c>
      <c r="I1472" s="35">
        <v>-88.25</v>
      </c>
      <c r="J1472" s="35">
        <v>235.6</v>
      </c>
      <c r="P1472" s="54" t="s">
        <v>179</v>
      </c>
      <c r="Q1472" s="54" t="s">
        <v>1057</v>
      </c>
      <c r="R1472" s="54" t="s">
        <v>1228</v>
      </c>
      <c r="S1472" s="54" t="s">
        <v>1666</v>
      </c>
      <c r="T1472" s="52" t="s">
        <v>1654</v>
      </c>
      <c r="X1472" s="35" t="s">
        <v>175</v>
      </c>
      <c r="AB1472" s="35" t="s">
        <v>1556</v>
      </c>
      <c r="AC1472" s="35" t="s">
        <v>166</v>
      </c>
      <c r="AD1472" s="153" t="str">
        <f t="shared" si="263"/>
        <v>Rye</v>
      </c>
      <c r="AE1472" s="35" t="s">
        <v>205</v>
      </c>
      <c r="AG1472" s="35" t="s">
        <v>1206</v>
      </c>
      <c r="AH1472" s="35" t="s">
        <v>1206</v>
      </c>
      <c r="AI1472" s="35" t="s">
        <v>230</v>
      </c>
      <c r="AJ1472" s="35" t="s">
        <v>203</v>
      </c>
      <c r="AK1472" s="35" t="s">
        <v>203</v>
      </c>
      <c r="AL1472" s="35" t="s">
        <v>230</v>
      </c>
      <c r="AM1472" s="35" t="s">
        <v>1224</v>
      </c>
      <c r="AN1472" s="35" t="s">
        <v>1224</v>
      </c>
      <c r="AO1472" s="35" t="s">
        <v>230</v>
      </c>
      <c r="AP1472" s="35" t="s">
        <v>154</v>
      </c>
      <c r="AQ1472" s="35">
        <v>4</v>
      </c>
      <c r="AR1472" s="35">
        <v>4</v>
      </c>
      <c r="AS1472" s="35" t="s">
        <v>404</v>
      </c>
      <c r="BE1472" s="35">
        <v>1.4</v>
      </c>
      <c r="BF1472" s="35">
        <v>1.38</v>
      </c>
      <c r="BH1472" s="35">
        <v>3.2</v>
      </c>
      <c r="BI1472" s="35">
        <v>3.4</v>
      </c>
      <c r="BJ1472" s="35" t="s">
        <v>1226</v>
      </c>
      <c r="BK1472" s="35">
        <v>11.1</v>
      </c>
      <c r="BL1472" s="35">
        <v>14.6</v>
      </c>
      <c r="BM1472" s="35" t="s">
        <v>1229</v>
      </c>
      <c r="CL1472" s="35">
        <v>1.835</v>
      </c>
      <c r="CM1472" s="35">
        <v>1.784</v>
      </c>
      <c r="CN1472" s="35" t="s">
        <v>1230</v>
      </c>
      <c r="FC1472" s="35">
        <v>67</v>
      </c>
    </row>
    <row r="1473" spans="1:159" s="35" customFormat="1" x14ac:dyDescent="0.25">
      <c r="A1473" s="35">
        <v>67</v>
      </c>
      <c r="B1473" s="35" t="s">
        <v>1221</v>
      </c>
      <c r="C1473" s="35" t="s">
        <v>1222</v>
      </c>
      <c r="D1473" s="35">
        <v>2006</v>
      </c>
      <c r="E1473" s="35">
        <v>2002</v>
      </c>
      <c r="F1473" s="35" t="s">
        <v>193</v>
      </c>
      <c r="G1473" s="35" t="s">
        <v>1223</v>
      </c>
      <c r="H1473" s="35">
        <v>40.1</v>
      </c>
      <c r="I1473" s="35">
        <v>-88.25</v>
      </c>
      <c r="J1473" s="35">
        <v>235.6</v>
      </c>
      <c r="P1473" s="54" t="s">
        <v>179</v>
      </c>
      <c r="Q1473" s="54" t="s">
        <v>1057</v>
      </c>
      <c r="R1473" s="54" t="s">
        <v>1228</v>
      </c>
      <c r="S1473" s="54" t="s">
        <v>1674</v>
      </c>
      <c r="T1473" s="52" t="s">
        <v>1654</v>
      </c>
      <c r="X1473" s="35" t="s">
        <v>175</v>
      </c>
      <c r="AB1473" s="35" t="s">
        <v>1556</v>
      </c>
      <c r="AC1473" s="35" t="s">
        <v>166</v>
      </c>
      <c r="AD1473" s="153" t="str">
        <f t="shared" si="263"/>
        <v>Rye</v>
      </c>
      <c r="AE1473" s="35" t="s">
        <v>205</v>
      </c>
      <c r="AG1473" s="35" t="s">
        <v>1206</v>
      </c>
      <c r="AH1473" s="35" t="s">
        <v>1206</v>
      </c>
      <c r="AI1473" s="35" t="s">
        <v>230</v>
      </c>
      <c r="AJ1473" s="35" t="s">
        <v>203</v>
      </c>
      <c r="AK1473" s="35" t="s">
        <v>203</v>
      </c>
      <c r="AL1473" s="35" t="s">
        <v>230</v>
      </c>
      <c r="AM1473" s="35" t="s">
        <v>1224</v>
      </c>
      <c r="AN1473" s="35" t="s">
        <v>1224</v>
      </c>
      <c r="AO1473" s="35" t="s">
        <v>230</v>
      </c>
      <c r="AP1473" s="35" t="s">
        <v>154</v>
      </c>
      <c r="AQ1473" s="35">
        <v>4</v>
      </c>
      <c r="AR1473" s="35">
        <v>4</v>
      </c>
      <c r="AS1473" s="35" t="s">
        <v>404</v>
      </c>
      <c r="BE1473" s="35">
        <v>1.45</v>
      </c>
      <c r="BF1473" s="35">
        <v>1.46</v>
      </c>
      <c r="BH1473" s="35">
        <v>3.3</v>
      </c>
      <c r="BI1473" s="35">
        <v>3.3</v>
      </c>
      <c r="BJ1473" s="35" t="s">
        <v>1226</v>
      </c>
      <c r="BK1473" s="35">
        <v>4.0999999999999996</v>
      </c>
      <c r="BL1473" s="35">
        <v>15.4</v>
      </c>
      <c r="BM1473" s="35" t="s">
        <v>1229</v>
      </c>
      <c r="CL1473" s="35">
        <v>1.7390000000000001</v>
      </c>
      <c r="CM1473" s="35">
        <v>1.8380000000000001</v>
      </c>
      <c r="CN1473" s="35" t="s">
        <v>1230</v>
      </c>
      <c r="FC1473" s="35">
        <v>67</v>
      </c>
    </row>
    <row r="1474" spans="1:159" s="35" customFormat="1" x14ac:dyDescent="0.25">
      <c r="A1474" s="35">
        <v>67</v>
      </c>
      <c r="B1474" s="35" t="s">
        <v>1221</v>
      </c>
      <c r="C1474" s="35" t="s">
        <v>1222</v>
      </c>
      <c r="D1474" s="35">
        <v>2006</v>
      </c>
      <c r="E1474" s="35">
        <v>2002</v>
      </c>
      <c r="F1474" s="35" t="s">
        <v>193</v>
      </c>
      <c r="G1474" s="35" t="s">
        <v>1223</v>
      </c>
      <c r="H1474" s="35">
        <v>40.1</v>
      </c>
      <c r="I1474" s="35">
        <v>-88.25</v>
      </c>
      <c r="J1474" s="35">
        <v>235.6</v>
      </c>
      <c r="P1474" s="54" t="s">
        <v>179</v>
      </c>
      <c r="Q1474" s="54" t="s">
        <v>1057</v>
      </c>
      <c r="R1474" s="54" t="s">
        <v>1228</v>
      </c>
      <c r="S1474" s="54" t="s">
        <v>1655</v>
      </c>
      <c r="T1474" s="52" t="s">
        <v>1654</v>
      </c>
      <c r="X1474" s="35" t="s">
        <v>175</v>
      </c>
      <c r="AB1474" s="35" t="s">
        <v>1556</v>
      </c>
      <c r="AC1474" s="35" t="s">
        <v>166</v>
      </c>
      <c r="AD1474" s="153" t="str">
        <f t="shared" si="263"/>
        <v>Rye</v>
      </c>
      <c r="AE1474" s="35" t="s">
        <v>205</v>
      </c>
      <c r="AG1474" s="35" t="s">
        <v>1206</v>
      </c>
      <c r="AH1474" s="35" t="s">
        <v>1206</v>
      </c>
      <c r="AI1474" s="35" t="s">
        <v>230</v>
      </c>
      <c r="AJ1474" s="35" t="s">
        <v>203</v>
      </c>
      <c r="AK1474" s="35" t="s">
        <v>203</v>
      </c>
      <c r="AL1474" s="35" t="s">
        <v>230</v>
      </c>
      <c r="AM1474" s="35" t="s">
        <v>1224</v>
      </c>
      <c r="AN1474" s="35" t="s">
        <v>1224</v>
      </c>
      <c r="AO1474" s="35" t="s">
        <v>230</v>
      </c>
      <c r="AP1474" s="35" t="s">
        <v>154</v>
      </c>
      <c r="AQ1474" s="35">
        <v>4</v>
      </c>
      <c r="AR1474" s="35">
        <v>4</v>
      </c>
      <c r="AS1474" s="35" t="s">
        <v>404</v>
      </c>
      <c r="BE1474" s="35">
        <v>1.45</v>
      </c>
      <c r="BF1474" s="35">
        <v>1.44</v>
      </c>
      <c r="BH1474" s="35">
        <v>3.7</v>
      </c>
      <c r="BI1474" s="35">
        <v>3.8</v>
      </c>
      <c r="BJ1474" s="35" t="s">
        <v>1226</v>
      </c>
      <c r="BK1474" s="35">
        <v>12.2</v>
      </c>
      <c r="BL1474" s="35">
        <v>13</v>
      </c>
      <c r="BM1474" s="35" t="s">
        <v>1229</v>
      </c>
      <c r="CL1474" s="35">
        <v>1.6240000000000001</v>
      </c>
      <c r="CM1474" s="35">
        <v>1.845</v>
      </c>
      <c r="CN1474" s="35" t="s">
        <v>1230</v>
      </c>
      <c r="FC1474" s="35">
        <v>67</v>
      </c>
    </row>
    <row r="1475" spans="1:159" s="26" customFormat="1" x14ac:dyDescent="0.25">
      <c r="A1475" s="26">
        <v>67</v>
      </c>
      <c r="B1475" s="26" t="s">
        <v>1221</v>
      </c>
      <c r="C1475" s="26" t="s">
        <v>1222</v>
      </c>
      <c r="D1475" s="26">
        <v>2006</v>
      </c>
      <c r="E1475" s="26">
        <v>2002</v>
      </c>
      <c r="F1475" s="26" t="s">
        <v>193</v>
      </c>
      <c r="G1475" s="26" t="s">
        <v>1223</v>
      </c>
      <c r="H1475" s="26">
        <v>40.1</v>
      </c>
      <c r="I1475" s="26">
        <v>-88.25</v>
      </c>
      <c r="J1475" s="26">
        <v>235.6</v>
      </c>
      <c r="P1475" s="52" t="s">
        <v>179</v>
      </c>
      <c r="Q1475" s="52" t="s">
        <v>1057</v>
      </c>
      <c r="R1475" s="52" t="s">
        <v>1228</v>
      </c>
      <c r="S1475" s="52" t="s">
        <v>1659</v>
      </c>
      <c r="T1475" s="52" t="s">
        <v>1654</v>
      </c>
      <c r="X1475" s="26" t="s">
        <v>175</v>
      </c>
      <c r="AB1475" s="26" t="s">
        <v>1556</v>
      </c>
      <c r="AC1475" s="26" t="s">
        <v>301</v>
      </c>
      <c r="AD1475" s="153" t="str">
        <f t="shared" ref="AD1475:AD1538" si="270">IF(OR(AC1475="*Rye",AC1475="Rye*",AC1475="Downy_brome"),"Rye",IF(OR(AC1475="*Oat",AC1475="Oat*",AC1475="Trudan_8",AC1475="*Wheat",AC1475="Wheat*",AC1475="Barley*",AC1475="Hemp",AC1475="Hemp",AC1475="Triticale*",AC1475="Grass",AC1475="Millet"),"Grass",IF(OR(AC1475="*clover",AC1475="clover*",AC1475="Vetch*",AC1475="Vetch*",AC1475="Alfalfa",AC1475="Soybean",AC1475="*Lentil",AC1475="Lentil*",AC1475="*Pea",AC1475="Pea*",AC1475="Lupine"),"Legume",AC1475)))</f>
        <v>Vetch</v>
      </c>
      <c r="AE1475" s="26" t="s">
        <v>205</v>
      </c>
      <c r="AG1475" s="26" t="s">
        <v>1206</v>
      </c>
      <c r="AH1475" s="26" t="s">
        <v>1206</v>
      </c>
      <c r="AI1475" s="26" t="s">
        <v>230</v>
      </c>
      <c r="AJ1475" s="26" t="s">
        <v>203</v>
      </c>
      <c r="AK1475" s="26" t="s">
        <v>203</v>
      </c>
      <c r="AL1475" s="26" t="s">
        <v>230</v>
      </c>
      <c r="AM1475" s="26" t="s">
        <v>1224</v>
      </c>
      <c r="AN1475" s="26" t="s">
        <v>1224</v>
      </c>
      <c r="AO1475" s="26" t="s">
        <v>230</v>
      </c>
      <c r="AP1475" s="26" t="s">
        <v>154</v>
      </c>
      <c r="AQ1475" s="26">
        <v>4</v>
      </c>
      <c r="AR1475" s="26">
        <v>4</v>
      </c>
      <c r="AS1475" s="26" t="s">
        <v>404</v>
      </c>
      <c r="BE1475" s="26">
        <v>1.32</v>
      </c>
      <c r="BF1475" s="26">
        <v>1.23</v>
      </c>
      <c r="BH1475" s="26">
        <v>4</v>
      </c>
      <c r="BI1475" s="26">
        <v>4.5999999999999996</v>
      </c>
      <c r="BJ1475" s="26" t="s">
        <v>1226</v>
      </c>
      <c r="BK1475" s="26">
        <v>13.3</v>
      </c>
      <c r="BL1475" s="26">
        <v>9.3000000000000007</v>
      </c>
      <c r="BM1475" s="26" t="s">
        <v>1229</v>
      </c>
      <c r="CL1475" s="26">
        <v>1.337</v>
      </c>
      <c r="CM1475" s="26">
        <v>1.51</v>
      </c>
      <c r="CN1475" s="26" t="s">
        <v>1230</v>
      </c>
      <c r="FC1475" s="26">
        <v>67</v>
      </c>
    </row>
    <row r="1476" spans="1:159" s="26" customFormat="1" x14ac:dyDescent="0.25">
      <c r="A1476" s="26">
        <v>67</v>
      </c>
      <c r="B1476" s="26" t="s">
        <v>1221</v>
      </c>
      <c r="C1476" s="26" t="s">
        <v>1222</v>
      </c>
      <c r="D1476" s="26">
        <v>2006</v>
      </c>
      <c r="E1476" s="26">
        <v>2002</v>
      </c>
      <c r="F1476" s="26" t="s">
        <v>193</v>
      </c>
      <c r="G1476" s="26" t="s">
        <v>1223</v>
      </c>
      <c r="H1476" s="26">
        <v>40.1</v>
      </c>
      <c r="I1476" s="26">
        <v>-88.25</v>
      </c>
      <c r="J1476" s="26">
        <v>235.6</v>
      </c>
      <c r="P1476" s="52" t="s">
        <v>179</v>
      </c>
      <c r="Q1476" s="52" t="s">
        <v>1057</v>
      </c>
      <c r="R1476" s="52" t="s">
        <v>1228</v>
      </c>
      <c r="S1476" s="52" t="s">
        <v>1666</v>
      </c>
      <c r="T1476" s="52" t="s">
        <v>1654</v>
      </c>
      <c r="X1476" s="26" t="s">
        <v>175</v>
      </c>
      <c r="AB1476" s="26" t="s">
        <v>1556</v>
      </c>
      <c r="AC1476" s="26" t="s">
        <v>301</v>
      </c>
      <c r="AD1476" s="153" t="str">
        <f t="shared" si="270"/>
        <v>Vetch</v>
      </c>
      <c r="AE1476" s="26" t="s">
        <v>205</v>
      </c>
      <c r="AG1476" s="26" t="s">
        <v>1206</v>
      </c>
      <c r="AH1476" s="26" t="s">
        <v>1206</v>
      </c>
      <c r="AI1476" s="26" t="s">
        <v>230</v>
      </c>
      <c r="AJ1476" s="26" t="s">
        <v>203</v>
      </c>
      <c r="AK1476" s="26" t="s">
        <v>203</v>
      </c>
      <c r="AL1476" s="26" t="s">
        <v>230</v>
      </c>
      <c r="AM1476" s="26" t="s">
        <v>1224</v>
      </c>
      <c r="AN1476" s="26" t="s">
        <v>1224</v>
      </c>
      <c r="AO1476" s="26" t="s">
        <v>230</v>
      </c>
      <c r="AP1476" s="26" t="s">
        <v>154</v>
      </c>
      <c r="AQ1476" s="26">
        <v>4</v>
      </c>
      <c r="AR1476" s="26">
        <v>4</v>
      </c>
      <c r="AS1476" s="26" t="s">
        <v>404</v>
      </c>
      <c r="BE1476" s="26">
        <v>1.4</v>
      </c>
      <c r="BF1476" s="26">
        <v>1.35</v>
      </c>
      <c r="BH1476" s="26">
        <v>3.2</v>
      </c>
      <c r="BI1476" s="26">
        <v>3.5</v>
      </c>
      <c r="BJ1476" s="26" t="s">
        <v>1226</v>
      </c>
      <c r="BK1476" s="26">
        <v>11.1</v>
      </c>
      <c r="BL1476" s="26">
        <v>12.9</v>
      </c>
      <c r="BM1476" s="26" t="s">
        <v>1229</v>
      </c>
      <c r="CL1476" s="26">
        <v>1.835</v>
      </c>
      <c r="CM1476" s="26">
        <v>2.1019999999999999</v>
      </c>
      <c r="CN1476" s="26" t="s">
        <v>1230</v>
      </c>
      <c r="FC1476" s="26">
        <v>67</v>
      </c>
    </row>
    <row r="1477" spans="1:159" s="26" customFormat="1" x14ac:dyDescent="0.25">
      <c r="A1477" s="26">
        <v>67</v>
      </c>
      <c r="B1477" s="26" t="s">
        <v>1221</v>
      </c>
      <c r="C1477" s="26" t="s">
        <v>1222</v>
      </c>
      <c r="D1477" s="26">
        <v>2006</v>
      </c>
      <c r="E1477" s="26">
        <v>2002</v>
      </c>
      <c r="F1477" s="26" t="s">
        <v>193</v>
      </c>
      <c r="G1477" s="26" t="s">
        <v>1223</v>
      </c>
      <c r="H1477" s="26">
        <v>40.1</v>
      </c>
      <c r="I1477" s="26">
        <v>-88.25</v>
      </c>
      <c r="J1477" s="26">
        <v>235.6</v>
      </c>
      <c r="P1477" s="52" t="s">
        <v>179</v>
      </c>
      <c r="Q1477" s="52" t="s">
        <v>1057</v>
      </c>
      <c r="R1477" s="52" t="s">
        <v>1228</v>
      </c>
      <c r="S1477" s="52" t="s">
        <v>1674</v>
      </c>
      <c r="T1477" s="52" t="s">
        <v>1654</v>
      </c>
      <c r="X1477" s="26" t="s">
        <v>175</v>
      </c>
      <c r="AB1477" s="26" t="s">
        <v>1556</v>
      </c>
      <c r="AC1477" s="26" t="s">
        <v>301</v>
      </c>
      <c r="AD1477" s="153" t="str">
        <f t="shared" si="270"/>
        <v>Vetch</v>
      </c>
      <c r="AE1477" s="26" t="s">
        <v>205</v>
      </c>
      <c r="AG1477" s="26" t="s">
        <v>1206</v>
      </c>
      <c r="AH1477" s="26" t="s">
        <v>1206</v>
      </c>
      <c r="AI1477" s="26" t="s">
        <v>230</v>
      </c>
      <c r="AJ1477" s="26" t="s">
        <v>203</v>
      </c>
      <c r="AK1477" s="26" t="s">
        <v>203</v>
      </c>
      <c r="AL1477" s="26" t="s">
        <v>230</v>
      </c>
      <c r="AM1477" s="26" t="s">
        <v>1224</v>
      </c>
      <c r="AN1477" s="26" t="s">
        <v>1224</v>
      </c>
      <c r="AO1477" s="26" t="s">
        <v>230</v>
      </c>
      <c r="AP1477" s="26" t="s">
        <v>154</v>
      </c>
      <c r="AQ1477" s="26">
        <v>4</v>
      </c>
      <c r="AR1477" s="26">
        <v>4</v>
      </c>
      <c r="AS1477" s="26" t="s">
        <v>404</v>
      </c>
      <c r="BE1477" s="26">
        <v>1.45</v>
      </c>
      <c r="BF1477" s="26">
        <v>1.5</v>
      </c>
      <c r="BH1477" s="26">
        <v>3.3</v>
      </c>
      <c r="BI1477" s="26">
        <v>3.3</v>
      </c>
      <c r="BJ1477" s="26" t="s">
        <v>1226</v>
      </c>
      <c r="BK1477" s="26">
        <v>4.0999999999999996</v>
      </c>
      <c r="BL1477" s="26">
        <v>11.2</v>
      </c>
      <c r="BM1477" s="26" t="s">
        <v>1229</v>
      </c>
      <c r="CL1477" s="26">
        <v>1.7390000000000001</v>
      </c>
      <c r="CM1477" s="26">
        <v>2.016</v>
      </c>
      <c r="CN1477" s="26" t="s">
        <v>1230</v>
      </c>
      <c r="FC1477" s="26">
        <v>67</v>
      </c>
    </row>
    <row r="1478" spans="1:159" s="26" customFormat="1" x14ac:dyDescent="0.25">
      <c r="A1478" s="26">
        <v>67</v>
      </c>
      <c r="B1478" s="26" t="s">
        <v>1221</v>
      </c>
      <c r="C1478" s="26" t="s">
        <v>1222</v>
      </c>
      <c r="D1478" s="26">
        <v>2006</v>
      </c>
      <c r="E1478" s="26">
        <v>2002</v>
      </c>
      <c r="F1478" s="26" t="s">
        <v>193</v>
      </c>
      <c r="G1478" s="26" t="s">
        <v>1223</v>
      </c>
      <c r="H1478" s="26">
        <v>40.1</v>
      </c>
      <c r="I1478" s="26">
        <v>-88.25</v>
      </c>
      <c r="J1478" s="26">
        <v>235.6</v>
      </c>
      <c r="P1478" s="52" t="s">
        <v>179</v>
      </c>
      <c r="Q1478" s="52" t="s">
        <v>1057</v>
      </c>
      <c r="R1478" s="52" t="s">
        <v>1228</v>
      </c>
      <c r="S1478" s="52" t="s">
        <v>1655</v>
      </c>
      <c r="T1478" s="52" t="s">
        <v>1654</v>
      </c>
      <c r="X1478" s="26" t="s">
        <v>175</v>
      </c>
      <c r="AB1478" s="26" t="s">
        <v>1556</v>
      </c>
      <c r="AC1478" s="26" t="s">
        <v>301</v>
      </c>
      <c r="AD1478" s="153" t="str">
        <f t="shared" si="270"/>
        <v>Vetch</v>
      </c>
      <c r="AE1478" s="26" t="s">
        <v>205</v>
      </c>
      <c r="AG1478" s="26" t="s">
        <v>1206</v>
      </c>
      <c r="AH1478" s="26" t="s">
        <v>1206</v>
      </c>
      <c r="AI1478" s="26" t="s">
        <v>230</v>
      </c>
      <c r="AJ1478" s="26" t="s">
        <v>203</v>
      </c>
      <c r="AK1478" s="26" t="s">
        <v>203</v>
      </c>
      <c r="AL1478" s="26" t="s">
        <v>230</v>
      </c>
      <c r="AM1478" s="26" t="s">
        <v>1224</v>
      </c>
      <c r="AN1478" s="26" t="s">
        <v>1224</v>
      </c>
      <c r="AO1478" s="26" t="s">
        <v>230</v>
      </c>
      <c r="AP1478" s="26" t="s">
        <v>154</v>
      </c>
      <c r="AQ1478" s="26">
        <v>4</v>
      </c>
      <c r="AR1478" s="26">
        <v>4</v>
      </c>
      <c r="AS1478" s="26" t="s">
        <v>404</v>
      </c>
      <c r="BE1478" s="26">
        <v>1.45</v>
      </c>
      <c r="BF1478" s="26">
        <v>1.42</v>
      </c>
      <c r="BH1478" s="26">
        <v>3.7</v>
      </c>
      <c r="BI1478" s="26">
        <v>3.7</v>
      </c>
      <c r="BJ1478" s="26" t="s">
        <v>1226</v>
      </c>
      <c r="BK1478" s="26">
        <v>12.2</v>
      </c>
      <c r="BL1478" s="26">
        <v>9.8000000000000007</v>
      </c>
      <c r="BM1478" s="26" t="s">
        <v>1229</v>
      </c>
      <c r="CL1478" s="26">
        <v>1.6240000000000001</v>
      </c>
      <c r="CM1478" s="26">
        <v>2.06</v>
      </c>
      <c r="CN1478" s="26" t="s">
        <v>1230</v>
      </c>
      <c r="FC1478" s="26">
        <v>67</v>
      </c>
    </row>
    <row r="1479" spans="1:159" s="47" customFormat="1" x14ac:dyDescent="0.25">
      <c r="A1479" s="47">
        <v>67</v>
      </c>
      <c r="B1479" s="47" t="s">
        <v>1221</v>
      </c>
      <c r="C1479" s="47" t="s">
        <v>1222</v>
      </c>
      <c r="D1479" s="47">
        <v>2006</v>
      </c>
      <c r="E1479" s="47">
        <v>2002</v>
      </c>
      <c r="F1479" s="47" t="s">
        <v>193</v>
      </c>
      <c r="G1479" s="47" t="s">
        <v>1223</v>
      </c>
      <c r="H1479" s="47">
        <v>40.1</v>
      </c>
      <c r="I1479" s="47">
        <v>-88.25</v>
      </c>
      <c r="J1479" s="47">
        <v>235.6</v>
      </c>
      <c r="P1479" s="82" t="s">
        <v>179</v>
      </c>
      <c r="Q1479" s="82" t="s">
        <v>1057</v>
      </c>
      <c r="R1479" s="82" t="s">
        <v>1228</v>
      </c>
      <c r="S1479" s="82" t="s">
        <v>1659</v>
      </c>
      <c r="T1479" s="82" t="s">
        <v>1654</v>
      </c>
      <c r="X1479" s="47" t="s">
        <v>175</v>
      </c>
      <c r="AB1479" s="47" t="s">
        <v>1556</v>
      </c>
      <c r="AC1479" s="47" t="s">
        <v>1802</v>
      </c>
      <c r="AD1479" s="153" t="str">
        <f t="shared" si="270"/>
        <v>Rye/Vetch</v>
      </c>
      <c r="AE1479" s="47" t="s">
        <v>205</v>
      </c>
      <c r="AG1479" s="47" t="s">
        <v>1206</v>
      </c>
      <c r="AH1479" s="47" t="s">
        <v>1206</v>
      </c>
      <c r="AI1479" s="47" t="s">
        <v>230</v>
      </c>
      <c r="AJ1479" s="47" t="s">
        <v>203</v>
      </c>
      <c r="AK1479" s="47" t="s">
        <v>203</v>
      </c>
      <c r="AL1479" s="47" t="s">
        <v>230</v>
      </c>
      <c r="AM1479" s="47" t="s">
        <v>1224</v>
      </c>
      <c r="AN1479" s="47" t="s">
        <v>1224</v>
      </c>
      <c r="AO1479" s="47" t="s">
        <v>230</v>
      </c>
      <c r="AP1479" s="47" t="s">
        <v>154</v>
      </c>
      <c r="AQ1479" s="47">
        <v>4</v>
      </c>
      <c r="AR1479" s="47">
        <v>4</v>
      </c>
      <c r="AS1479" s="47" t="s">
        <v>404</v>
      </c>
      <c r="BE1479" s="47">
        <v>1.32</v>
      </c>
      <c r="BF1479" s="47">
        <v>1.23</v>
      </c>
      <c r="BH1479" s="47">
        <v>4</v>
      </c>
      <c r="BI1479" s="47">
        <v>4.7</v>
      </c>
      <c r="BJ1479" s="47" t="s">
        <v>1226</v>
      </c>
      <c r="BK1479" s="47">
        <v>13.3</v>
      </c>
      <c r="BL1479" s="47">
        <v>9.5</v>
      </c>
      <c r="BM1479" s="47" t="s">
        <v>1229</v>
      </c>
      <c r="CL1479" s="47">
        <v>1.337</v>
      </c>
      <c r="CM1479" s="47">
        <v>1.0940000000000001</v>
      </c>
      <c r="CN1479" s="47" t="s">
        <v>1230</v>
      </c>
      <c r="FC1479" s="47">
        <v>67</v>
      </c>
    </row>
    <row r="1480" spans="1:159" s="47" customFormat="1" x14ac:dyDescent="0.25">
      <c r="A1480" s="47">
        <v>67</v>
      </c>
      <c r="B1480" s="47" t="s">
        <v>1221</v>
      </c>
      <c r="C1480" s="47" t="s">
        <v>1222</v>
      </c>
      <c r="D1480" s="47">
        <v>2006</v>
      </c>
      <c r="E1480" s="47">
        <v>2002</v>
      </c>
      <c r="F1480" s="47" t="s">
        <v>193</v>
      </c>
      <c r="G1480" s="47" t="s">
        <v>1223</v>
      </c>
      <c r="H1480" s="47">
        <v>40.1</v>
      </c>
      <c r="I1480" s="47">
        <v>-88.25</v>
      </c>
      <c r="J1480" s="47">
        <v>235.6</v>
      </c>
      <c r="P1480" s="82" t="s">
        <v>179</v>
      </c>
      <c r="Q1480" s="82" t="s">
        <v>1057</v>
      </c>
      <c r="R1480" s="82" t="s">
        <v>1228</v>
      </c>
      <c r="S1480" s="82" t="s">
        <v>1666</v>
      </c>
      <c r="T1480" s="82" t="s">
        <v>1654</v>
      </c>
      <c r="X1480" s="47" t="s">
        <v>175</v>
      </c>
      <c r="AB1480" s="47" t="s">
        <v>1556</v>
      </c>
      <c r="AC1480" s="47" t="s">
        <v>1802</v>
      </c>
      <c r="AD1480" s="153" t="str">
        <f t="shared" si="270"/>
        <v>Rye/Vetch</v>
      </c>
      <c r="AE1480" s="47" t="s">
        <v>205</v>
      </c>
      <c r="AG1480" s="47" t="s">
        <v>1206</v>
      </c>
      <c r="AH1480" s="47" t="s">
        <v>1206</v>
      </c>
      <c r="AI1480" s="47" t="s">
        <v>230</v>
      </c>
      <c r="AJ1480" s="47" t="s">
        <v>203</v>
      </c>
      <c r="AK1480" s="47" t="s">
        <v>203</v>
      </c>
      <c r="AL1480" s="47" t="s">
        <v>230</v>
      </c>
      <c r="AM1480" s="47" t="s">
        <v>1224</v>
      </c>
      <c r="AN1480" s="47" t="s">
        <v>1224</v>
      </c>
      <c r="AO1480" s="47" t="s">
        <v>230</v>
      </c>
      <c r="AP1480" s="47" t="s">
        <v>154</v>
      </c>
      <c r="AQ1480" s="47">
        <v>4</v>
      </c>
      <c r="AR1480" s="47">
        <v>4</v>
      </c>
      <c r="AS1480" s="47" t="s">
        <v>404</v>
      </c>
      <c r="BE1480" s="47">
        <v>1.4</v>
      </c>
      <c r="BF1480" s="47">
        <v>1.36</v>
      </c>
      <c r="BH1480" s="47">
        <v>3.2</v>
      </c>
      <c r="BI1480" s="47">
        <v>3.5</v>
      </c>
      <c r="BJ1480" s="47" t="s">
        <v>1226</v>
      </c>
      <c r="BK1480" s="47">
        <v>11.1</v>
      </c>
      <c r="BL1480" s="47">
        <v>8.5</v>
      </c>
      <c r="BM1480" s="47" t="s">
        <v>1229</v>
      </c>
      <c r="CL1480" s="47">
        <v>1.835</v>
      </c>
      <c r="CM1480" s="47">
        <v>1.9970000000000001</v>
      </c>
      <c r="CN1480" s="47" t="s">
        <v>1230</v>
      </c>
      <c r="FC1480" s="47">
        <v>67</v>
      </c>
    </row>
    <row r="1481" spans="1:159" s="47" customFormat="1" x14ac:dyDescent="0.25">
      <c r="A1481" s="47">
        <v>67</v>
      </c>
      <c r="B1481" s="47" t="s">
        <v>1221</v>
      </c>
      <c r="C1481" s="47" t="s">
        <v>1222</v>
      </c>
      <c r="D1481" s="47">
        <v>2006</v>
      </c>
      <c r="E1481" s="47">
        <v>2002</v>
      </c>
      <c r="F1481" s="47" t="s">
        <v>193</v>
      </c>
      <c r="G1481" s="47" t="s">
        <v>1223</v>
      </c>
      <c r="H1481" s="47">
        <v>40.1</v>
      </c>
      <c r="I1481" s="47">
        <v>-88.25</v>
      </c>
      <c r="J1481" s="47">
        <v>235.6</v>
      </c>
      <c r="P1481" s="82" t="s">
        <v>179</v>
      </c>
      <c r="Q1481" s="82" t="s">
        <v>1057</v>
      </c>
      <c r="R1481" s="82" t="s">
        <v>1228</v>
      </c>
      <c r="S1481" s="82" t="s">
        <v>1674</v>
      </c>
      <c r="T1481" s="82" t="s">
        <v>1654</v>
      </c>
      <c r="X1481" s="47" t="s">
        <v>175</v>
      </c>
      <c r="AB1481" s="47" t="s">
        <v>1556</v>
      </c>
      <c r="AC1481" s="47" t="s">
        <v>1802</v>
      </c>
      <c r="AD1481" s="153" t="str">
        <f t="shared" si="270"/>
        <v>Rye/Vetch</v>
      </c>
      <c r="AE1481" s="47" t="s">
        <v>205</v>
      </c>
      <c r="AG1481" s="47" t="s">
        <v>1206</v>
      </c>
      <c r="AH1481" s="47" t="s">
        <v>1206</v>
      </c>
      <c r="AI1481" s="47" t="s">
        <v>230</v>
      </c>
      <c r="AJ1481" s="47" t="s">
        <v>203</v>
      </c>
      <c r="AK1481" s="47" t="s">
        <v>203</v>
      </c>
      <c r="AL1481" s="47" t="s">
        <v>230</v>
      </c>
      <c r="AM1481" s="47" t="s">
        <v>1224</v>
      </c>
      <c r="AN1481" s="47" t="s">
        <v>1224</v>
      </c>
      <c r="AO1481" s="47" t="s">
        <v>230</v>
      </c>
      <c r="AP1481" s="47" t="s">
        <v>154</v>
      </c>
      <c r="AQ1481" s="47">
        <v>4</v>
      </c>
      <c r="AR1481" s="47">
        <v>4</v>
      </c>
      <c r="AS1481" s="47" t="s">
        <v>404</v>
      </c>
      <c r="BE1481" s="47">
        <v>1.45</v>
      </c>
      <c r="BF1481" s="47">
        <v>1.43</v>
      </c>
      <c r="BH1481" s="47">
        <v>3.3</v>
      </c>
      <c r="BI1481" s="47">
        <v>3.3</v>
      </c>
      <c r="BJ1481" s="47" t="s">
        <v>1226</v>
      </c>
      <c r="BK1481" s="47">
        <v>4.0999999999999996</v>
      </c>
      <c r="BL1481" s="47">
        <v>15.6</v>
      </c>
      <c r="BM1481" s="47" t="s">
        <v>1229</v>
      </c>
      <c r="CL1481" s="47">
        <v>1.7390000000000001</v>
      </c>
      <c r="CM1481" s="47">
        <v>2.1440000000000001</v>
      </c>
      <c r="CN1481" s="47" t="s">
        <v>1230</v>
      </c>
      <c r="FC1481" s="47">
        <v>67</v>
      </c>
    </row>
    <row r="1482" spans="1:159" s="47" customFormat="1" x14ac:dyDescent="0.25">
      <c r="A1482" s="47">
        <v>67</v>
      </c>
      <c r="B1482" s="47" t="s">
        <v>1221</v>
      </c>
      <c r="C1482" s="47" t="s">
        <v>1222</v>
      </c>
      <c r="D1482" s="47">
        <v>2006</v>
      </c>
      <c r="E1482" s="47">
        <v>2002</v>
      </c>
      <c r="F1482" s="47" t="s">
        <v>193</v>
      </c>
      <c r="G1482" s="47" t="s">
        <v>1223</v>
      </c>
      <c r="H1482" s="47">
        <v>40.1</v>
      </c>
      <c r="I1482" s="47">
        <v>-88.25</v>
      </c>
      <c r="J1482" s="47">
        <v>235.6</v>
      </c>
      <c r="P1482" s="82" t="s">
        <v>179</v>
      </c>
      <c r="Q1482" s="82" t="s">
        <v>1057</v>
      </c>
      <c r="R1482" s="82" t="s">
        <v>1228</v>
      </c>
      <c r="S1482" s="82" t="s">
        <v>1655</v>
      </c>
      <c r="T1482" s="82" t="s">
        <v>1654</v>
      </c>
      <c r="X1482" s="47" t="s">
        <v>175</v>
      </c>
      <c r="AB1482" s="47" t="s">
        <v>1556</v>
      </c>
      <c r="AC1482" s="47" t="s">
        <v>1802</v>
      </c>
      <c r="AD1482" s="153" t="str">
        <f t="shared" si="270"/>
        <v>Rye/Vetch</v>
      </c>
      <c r="AE1482" s="47" t="s">
        <v>205</v>
      </c>
      <c r="AG1482" s="47" t="s">
        <v>1206</v>
      </c>
      <c r="AH1482" s="47" t="s">
        <v>1206</v>
      </c>
      <c r="AI1482" s="47" t="s">
        <v>230</v>
      </c>
      <c r="AJ1482" s="47" t="s">
        <v>203</v>
      </c>
      <c r="AK1482" s="47" t="s">
        <v>203</v>
      </c>
      <c r="AL1482" s="47" t="s">
        <v>230</v>
      </c>
      <c r="AM1482" s="47" t="s">
        <v>1224</v>
      </c>
      <c r="AN1482" s="47" t="s">
        <v>1224</v>
      </c>
      <c r="AO1482" s="47" t="s">
        <v>230</v>
      </c>
      <c r="AP1482" s="47" t="s">
        <v>154</v>
      </c>
      <c r="AQ1482" s="47">
        <v>4</v>
      </c>
      <c r="AR1482" s="47">
        <v>4</v>
      </c>
      <c r="AS1482" s="47" t="s">
        <v>404</v>
      </c>
      <c r="BE1482" s="47">
        <v>1.45</v>
      </c>
      <c r="BF1482" s="47">
        <v>1.39</v>
      </c>
      <c r="BH1482" s="47">
        <v>3.7</v>
      </c>
      <c r="BI1482" s="47">
        <v>4</v>
      </c>
      <c r="BJ1482" s="47" t="s">
        <v>1226</v>
      </c>
      <c r="BK1482" s="47">
        <v>12.2</v>
      </c>
      <c r="BL1482" s="47">
        <v>10.4</v>
      </c>
      <c r="BM1482" s="47" t="s">
        <v>1229</v>
      </c>
      <c r="CL1482" s="47">
        <v>1.6240000000000001</v>
      </c>
      <c r="CM1482" s="47">
        <v>2.0339999999999998</v>
      </c>
      <c r="CN1482" s="47" t="s">
        <v>1230</v>
      </c>
      <c r="FC1482" s="47">
        <v>67</v>
      </c>
    </row>
    <row r="1483" spans="1:159" s="31" customFormat="1" x14ac:dyDescent="0.25">
      <c r="A1483" s="31">
        <v>68</v>
      </c>
      <c r="B1483" s="31" t="s">
        <v>1240</v>
      </c>
      <c r="C1483" s="31" t="s">
        <v>1241</v>
      </c>
      <c r="D1483" s="31">
        <v>2011</v>
      </c>
      <c r="E1483" s="31">
        <v>2000</v>
      </c>
      <c r="F1483" s="31" t="s">
        <v>363</v>
      </c>
      <c r="G1483" s="31" t="s">
        <v>1244</v>
      </c>
      <c r="H1483" s="31">
        <f t="shared" ref="H1483:H1506" si="271">43+18/60</f>
        <v>43.3</v>
      </c>
      <c r="I1483" s="31">
        <f t="shared" ref="I1483:I1506" si="272">-89-21/60</f>
        <v>-89.35</v>
      </c>
      <c r="J1483" s="31">
        <v>317.10000000000002</v>
      </c>
      <c r="P1483" s="56" t="s">
        <v>1242</v>
      </c>
      <c r="Q1483" s="56" t="s">
        <v>1057</v>
      </c>
      <c r="R1483" s="56" t="s">
        <v>1243</v>
      </c>
      <c r="S1483" s="56" t="s">
        <v>1659</v>
      </c>
      <c r="T1483" s="56" t="s">
        <v>1644</v>
      </c>
      <c r="X1483" s="31" t="s">
        <v>168</v>
      </c>
      <c r="AB1483" s="31" t="s">
        <v>1580</v>
      </c>
      <c r="AC1483" s="31" t="s">
        <v>1811</v>
      </c>
      <c r="AD1483" s="153" t="str">
        <f t="shared" si="270"/>
        <v>Winter_wheat</v>
      </c>
      <c r="AE1483" s="31" t="s">
        <v>167</v>
      </c>
      <c r="AG1483" s="31" t="s">
        <v>167</v>
      </c>
      <c r="AH1483" s="31" t="s">
        <v>1146</v>
      </c>
      <c r="AI1483" s="31" t="s">
        <v>618</v>
      </c>
      <c r="AJ1483" s="31" t="s">
        <v>590</v>
      </c>
      <c r="AK1483" s="31" t="s">
        <v>1252</v>
      </c>
      <c r="AL1483" s="31" t="s">
        <v>618</v>
      </c>
      <c r="AM1483" s="31" t="s">
        <v>1253</v>
      </c>
      <c r="AN1483" s="31" t="s">
        <v>1254</v>
      </c>
      <c r="AO1483" s="31" t="s">
        <v>618</v>
      </c>
      <c r="AP1483" s="31" t="s">
        <v>208</v>
      </c>
      <c r="AQ1483" s="31">
        <v>4</v>
      </c>
      <c r="AR1483" s="31">
        <v>4</v>
      </c>
      <c r="AS1483" s="31" t="s">
        <v>177</v>
      </c>
      <c r="AX1483" s="31" t="s">
        <v>1245</v>
      </c>
      <c r="BE1483" s="31">
        <v>1.1000000000000001</v>
      </c>
      <c r="BF1483" s="31">
        <v>1.07</v>
      </c>
      <c r="BH1483" s="31">
        <v>2.41</v>
      </c>
      <c r="BI1483" s="31">
        <v>2.19</v>
      </c>
      <c r="BJ1483" s="31" t="s">
        <v>750</v>
      </c>
      <c r="BK1483" s="31">
        <v>2230</v>
      </c>
      <c r="BL1483" s="31">
        <v>2030</v>
      </c>
      <c r="BM1483" s="31" t="s">
        <v>292</v>
      </c>
      <c r="BN1483" s="31">
        <v>52.5</v>
      </c>
      <c r="BO1483" s="31">
        <v>45.3</v>
      </c>
      <c r="BQ1483" s="31">
        <v>237</v>
      </c>
      <c r="BR1483" s="31">
        <v>148</v>
      </c>
      <c r="BT1483" s="31">
        <v>6.3</v>
      </c>
      <c r="BU1483" s="31">
        <v>6.7</v>
      </c>
      <c r="CF1483" s="31">
        <v>778</v>
      </c>
      <c r="CG1483" s="31">
        <v>665</v>
      </c>
      <c r="CH1483" s="31" t="s">
        <v>1271</v>
      </c>
      <c r="DG1483" s="31">
        <v>28</v>
      </c>
      <c r="DH1483" s="31">
        <v>28</v>
      </c>
      <c r="DI1483" s="31" t="s">
        <v>212</v>
      </c>
      <c r="DV1483" s="31">
        <v>1740</v>
      </c>
      <c r="DW1483" s="31">
        <v>1840</v>
      </c>
      <c r="DX1483" s="31" t="s">
        <v>539</v>
      </c>
      <c r="DY1483" s="31">
        <v>29.9</v>
      </c>
      <c r="DZ1483" s="31">
        <v>31.5</v>
      </c>
      <c r="EQ1483" s="31">
        <f>200*0.000012</f>
        <v>2.4000000000000002E-3</v>
      </c>
      <c r="ER1483" s="31">
        <f>161*0.000012</f>
        <v>1.9320000000000001E-3</v>
      </c>
      <c r="ES1483" s="31" t="s">
        <v>1261</v>
      </c>
      <c r="EY1483" s="31">
        <v>99999</v>
      </c>
      <c r="FA1483" s="31" t="s">
        <v>542</v>
      </c>
      <c r="FC1483" s="31">
        <v>68</v>
      </c>
    </row>
    <row r="1484" spans="1:159" s="31" customFormat="1" x14ac:dyDescent="0.25">
      <c r="A1484" s="31">
        <v>68</v>
      </c>
      <c r="B1484" s="31" t="s">
        <v>1240</v>
      </c>
      <c r="C1484" s="31" t="s">
        <v>1241</v>
      </c>
      <c r="D1484" s="31">
        <v>2011</v>
      </c>
      <c r="E1484" s="31">
        <v>2000</v>
      </c>
      <c r="F1484" s="31" t="s">
        <v>363</v>
      </c>
      <c r="G1484" s="31" t="s">
        <v>1244</v>
      </c>
      <c r="H1484" s="31">
        <f t="shared" si="271"/>
        <v>43.3</v>
      </c>
      <c r="I1484" s="31">
        <f t="shared" si="272"/>
        <v>-89.35</v>
      </c>
      <c r="J1484" s="31">
        <v>317.10000000000002</v>
      </c>
      <c r="P1484" s="56" t="s">
        <v>1242</v>
      </c>
      <c r="Q1484" s="56" t="s">
        <v>1057</v>
      </c>
      <c r="R1484" s="56" t="s">
        <v>1243</v>
      </c>
      <c r="S1484" s="56" t="s">
        <v>1659</v>
      </c>
      <c r="T1484" s="56" t="s">
        <v>1644</v>
      </c>
      <c r="X1484" s="31" t="s">
        <v>168</v>
      </c>
      <c r="AB1484" s="31" t="s">
        <v>1580</v>
      </c>
      <c r="AC1484" s="31" t="s">
        <v>148</v>
      </c>
      <c r="AD1484" s="153" t="str">
        <f t="shared" si="270"/>
        <v>Legume</v>
      </c>
      <c r="AE1484" s="31" t="s">
        <v>167</v>
      </c>
      <c r="AG1484" s="31" t="s">
        <v>167</v>
      </c>
      <c r="AH1484" s="31" t="s">
        <v>167</v>
      </c>
      <c r="AI1484" s="31" t="s">
        <v>230</v>
      </c>
      <c r="AJ1484" s="31" t="s">
        <v>590</v>
      </c>
      <c r="AK1484" s="31" t="s">
        <v>1252</v>
      </c>
      <c r="AL1484" s="31" t="s">
        <v>618</v>
      </c>
      <c r="AM1484" s="31" t="s">
        <v>1253</v>
      </c>
      <c r="AN1484" s="31" t="s">
        <v>1255</v>
      </c>
      <c r="AO1484" s="31" t="s">
        <v>618</v>
      </c>
      <c r="AP1484" s="31" t="s">
        <v>208</v>
      </c>
      <c r="AQ1484" s="31">
        <v>4</v>
      </c>
      <c r="AR1484" s="31">
        <v>4</v>
      </c>
      <c r="AS1484" s="31" t="s">
        <v>177</v>
      </c>
      <c r="AX1484" s="31" t="s">
        <v>1246</v>
      </c>
      <c r="BE1484" s="31">
        <v>1.1000000000000001</v>
      </c>
      <c r="BF1484" s="31">
        <v>1.32</v>
      </c>
      <c r="BH1484" s="31">
        <v>2.41</v>
      </c>
      <c r="BI1484" s="31">
        <v>2.5</v>
      </c>
      <c r="BJ1484" s="31" t="s">
        <v>750</v>
      </c>
      <c r="BK1484" s="31">
        <v>2230</v>
      </c>
      <c r="BL1484" s="31">
        <v>2430</v>
      </c>
      <c r="BM1484" s="31" t="s">
        <v>292</v>
      </c>
      <c r="BN1484" s="31">
        <v>52.5</v>
      </c>
      <c r="BO1484" s="31">
        <v>61.5</v>
      </c>
      <c r="BQ1484" s="31">
        <v>237</v>
      </c>
      <c r="BR1484" s="31">
        <v>135</v>
      </c>
      <c r="BT1484" s="31">
        <v>6.3</v>
      </c>
      <c r="BU1484" s="31">
        <v>6.9</v>
      </c>
      <c r="CF1484" s="31">
        <v>778</v>
      </c>
      <c r="CG1484" s="31">
        <v>817</v>
      </c>
      <c r="CH1484" s="31" t="s">
        <v>1271</v>
      </c>
      <c r="DG1484" s="31">
        <v>28</v>
      </c>
      <c r="DH1484" s="31">
        <v>28</v>
      </c>
      <c r="DI1484" s="31" t="s">
        <v>212</v>
      </c>
      <c r="DV1484" s="31">
        <v>1740</v>
      </c>
      <c r="DW1484" s="31">
        <v>1880</v>
      </c>
      <c r="DX1484" s="31" t="s">
        <v>539</v>
      </c>
      <c r="DY1484" s="31">
        <v>29.9</v>
      </c>
      <c r="DZ1484" s="31">
        <v>37.4</v>
      </c>
      <c r="EQ1484" s="31">
        <f t="shared" ref="EQ1484:EQ1488" si="273">200*0.000012</f>
        <v>2.4000000000000002E-3</v>
      </c>
      <c r="ER1484" s="31">
        <f>250*0.000012</f>
        <v>3.0000000000000001E-3</v>
      </c>
      <c r="ES1484" s="31" t="s">
        <v>1261</v>
      </c>
      <c r="EY1484" s="31">
        <v>99999</v>
      </c>
      <c r="FA1484" s="31" t="s">
        <v>542</v>
      </c>
      <c r="FC1484" s="31">
        <v>68</v>
      </c>
    </row>
    <row r="1485" spans="1:159" s="31" customFormat="1" x14ac:dyDescent="0.25">
      <c r="A1485" s="31">
        <v>68</v>
      </c>
      <c r="B1485" s="31" t="s">
        <v>1240</v>
      </c>
      <c r="C1485" s="31" t="s">
        <v>1241</v>
      </c>
      <c r="D1485" s="31">
        <v>2011</v>
      </c>
      <c r="E1485" s="31">
        <v>2000</v>
      </c>
      <c r="F1485" s="31" t="s">
        <v>363</v>
      </c>
      <c r="G1485" s="31" t="s">
        <v>1244</v>
      </c>
      <c r="H1485" s="31">
        <f t="shared" si="271"/>
        <v>43.3</v>
      </c>
      <c r="I1485" s="31">
        <f t="shared" si="272"/>
        <v>-89.35</v>
      </c>
      <c r="J1485" s="31">
        <v>317.10000000000002</v>
      </c>
      <c r="P1485" s="56" t="s">
        <v>1242</v>
      </c>
      <c r="Q1485" s="56" t="s">
        <v>1057</v>
      </c>
      <c r="R1485" s="56" t="s">
        <v>1243</v>
      </c>
      <c r="S1485" s="56" t="s">
        <v>1659</v>
      </c>
      <c r="T1485" s="56" t="s">
        <v>1644</v>
      </c>
      <c r="X1485" s="31" t="s">
        <v>168</v>
      </c>
      <c r="AB1485" s="31" t="s">
        <v>1580</v>
      </c>
      <c r="AC1485" s="31" t="s">
        <v>148</v>
      </c>
      <c r="AD1485" s="153" t="str">
        <f t="shared" si="270"/>
        <v>Legume</v>
      </c>
      <c r="AE1485" s="31" t="s">
        <v>167</v>
      </c>
      <c r="AG1485" s="31" t="s">
        <v>167</v>
      </c>
      <c r="AH1485" s="31" t="s">
        <v>167</v>
      </c>
      <c r="AI1485" s="31" t="s">
        <v>230</v>
      </c>
      <c r="AJ1485" s="31" t="s">
        <v>590</v>
      </c>
      <c r="AK1485" s="31" t="s">
        <v>1252</v>
      </c>
      <c r="AL1485" s="31" t="s">
        <v>618</v>
      </c>
      <c r="AM1485" s="31" t="s">
        <v>1253</v>
      </c>
      <c r="AN1485" s="31" t="s">
        <v>1256</v>
      </c>
      <c r="AO1485" s="31" t="s">
        <v>618</v>
      </c>
      <c r="AP1485" s="31" t="s">
        <v>208</v>
      </c>
      <c r="AQ1485" s="31">
        <v>4</v>
      </c>
      <c r="AR1485" s="31">
        <v>4</v>
      </c>
      <c r="AS1485" s="31" t="s">
        <v>177</v>
      </c>
      <c r="AX1485" s="31" t="s">
        <v>1247</v>
      </c>
      <c r="BE1485" s="31">
        <v>1.1000000000000001</v>
      </c>
      <c r="BF1485" s="31">
        <v>1.37</v>
      </c>
      <c r="BH1485" s="31">
        <v>2.41</v>
      </c>
      <c r="BI1485" s="31">
        <v>2.59</v>
      </c>
      <c r="BJ1485" s="31" t="s">
        <v>750</v>
      </c>
      <c r="BK1485" s="31">
        <v>2230</v>
      </c>
      <c r="BL1485" s="31">
        <v>2680</v>
      </c>
      <c r="BM1485" s="31" t="s">
        <v>292</v>
      </c>
      <c r="BN1485" s="31">
        <v>52.5</v>
      </c>
      <c r="BO1485" s="31">
        <v>72.8</v>
      </c>
      <c r="BQ1485" s="31">
        <v>237</v>
      </c>
      <c r="BR1485" s="31">
        <v>231</v>
      </c>
      <c r="BT1485" s="31">
        <v>6.3</v>
      </c>
      <c r="BU1485" s="31">
        <v>6.6</v>
      </c>
      <c r="CF1485" s="31">
        <v>778</v>
      </c>
      <c r="CG1485" s="31">
        <v>801</v>
      </c>
      <c r="CH1485" s="31" t="s">
        <v>1271</v>
      </c>
      <c r="DG1485" s="31">
        <v>28</v>
      </c>
      <c r="DH1485" s="31">
        <v>23</v>
      </c>
      <c r="DI1485" s="31" t="s">
        <v>212</v>
      </c>
      <c r="DV1485" s="31">
        <v>1740</v>
      </c>
      <c r="DW1485" s="31">
        <v>1900</v>
      </c>
      <c r="DX1485" s="31" t="s">
        <v>539</v>
      </c>
      <c r="DY1485" s="31">
        <v>29.9</v>
      </c>
      <c r="DZ1485" s="31">
        <v>36.799999999999997</v>
      </c>
      <c r="EQ1485" s="31">
        <f t="shared" si="273"/>
        <v>2.4000000000000002E-3</v>
      </c>
      <c r="ER1485" s="31">
        <f>181*0.000012</f>
        <v>2.1719999999999999E-3</v>
      </c>
      <c r="ES1485" s="31" t="s">
        <v>1270</v>
      </c>
      <c r="EY1485" s="31">
        <v>99999</v>
      </c>
      <c r="FA1485" s="31" t="s">
        <v>542</v>
      </c>
      <c r="FC1485" s="31">
        <v>68</v>
      </c>
    </row>
    <row r="1486" spans="1:159" s="31" customFormat="1" x14ac:dyDescent="0.25">
      <c r="A1486" s="31">
        <v>68</v>
      </c>
      <c r="B1486" s="31" t="s">
        <v>1240</v>
      </c>
      <c r="C1486" s="31" t="s">
        <v>1241</v>
      </c>
      <c r="D1486" s="31">
        <v>2011</v>
      </c>
      <c r="E1486" s="31">
        <v>2000</v>
      </c>
      <c r="F1486" s="31" t="s">
        <v>363</v>
      </c>
      <c r="G1486" s="31" t="s">
        <v>1244</v>
      </c>
      <c r="H1486" s="31">
        <f t="shared" si="271"/>
        <v>43.3</v>
      </c>
      <c r="I1486" s="31">
        <f t="shared" si="272"/>
        <v>-89.35</v>
      </c>
      <c r="J1486" s="31">
        <v>317.10000000000002</v>
      </c>
      <c r="P1486" s="56" t="s">
        <v>1242</v>
      </c>
      <c r="Q1486" s="56" t="s">
        <v>1057</v>
      </c>
      <c r="R1486" s="56" t="s">
        <v>1243</v>
      </c>
      <c r="S1486" s="56" t="s">
        <v>1659</v>
      </c>
      <c r="T1486" s="56" t="s">
        <v>1644</v>
      </c>
      <c r="X1486" s="31" t="s">
        <v>168</v>
      </c>
      <c r="AB1486" s="31" t="s">
        <v>1580</v>
      </c>
      <c r="AC1486" s="31" t="s">
        <v>148</v>
      </c>
      <c r="AD1486" s="153" t="str">
        <f t="shared" si="270"/>
        <v>Legume</v>
      </c>
      <c r="AE1486" s="31" t="s">
        <v>167</v>
      </c>
      <c r="AG1486" s="31" t="s">
        <v>167</v>
      </c>
      <c r="AH1486" s="31" t="s">
        <v>167</v>
      </c>
      <c r="AI1486" s="31" t="s">
        <v>230</v>
      </c>
      <c r="AJ1486" s="31" t="s">
        <v>590</v>
      </c>
      <c r="AK1486" s="31" t="s">
        <v>1252</v>
      </c>
      <c r="AL1486" s="31" t="s">
        <v>618</v>
      </c>
      <c r="AM1486" s="31" t="s">
        <v>1253</v>
      </c>
      <c r="AN1486" s="31" t="s">
        <v>1257</v>
      </c>
      <c r="AO1486" s="31" t="s">
        <v>618</v>
      </c>
      <c r="AP1486" s="31" t="s">
        <v>208</v>
      </c>
      <c r="AQ1486" s="31">
        <v>4</v>
      </c>
      <c r="AR1486" s="31">
        <v>4</v>
      </c>
      <c r="AS1486" s="31" t="s">
        <v>177</v>
      </c>
      <c r="AX1486" s="31" t="s">
        <v>1248</v>
      </c>
      <c r="BE1486" s="31">
        <v>1.1000000000000001</v>
      </c>
      <c r="BF1486" s="31">
        <v>1.1299999999999999</v>
      </c>
      <c r="BH1486" s="31">
        <v>2.41</v>
      </c>
      <c r="BI1486" s="31">
        <v>2.39</v>
      </c>
      <c r="BJ1486" s="31" t="s">
        <v>750</v>
      </c>
      <c r="BK1486" s="31">
        <v>2230</v>
      </c>
      <c r="BL1486" s="31">
        <v>2300</v>
      </c>
      <c r="BM1486" s="31" t="s">
        <v>292</v>
      </c>
      <c r="BN1486" s="31">
        <v>52.5</v>
      </c>
      <c r="BO1486" s="31">
        <v>58.3</v>
      </c>
      <c r="BQ1486" s="31">
        <v>237</v>
      </c>
      <c r="BR1486" s="31">
        <v>145</v>
      </c>
      <c r="BT1486" s="31">
        <v>6.3</v>
      </c>
      <c r="BU1486" s="31">
        <v>6.8</v>
      </c>
      <c r="CF1486" s="31">
        <v>778</v>
      </c>
      <c r="CG1486" s="31">
        <v>766</v>
      </c>
      <c r="CH1486" s="31" t="s">
        <v>1271</v>
      </c>
      <c r="DG1486" s="31">
        <v>28</v>
      </c>
      <c r="DH1486" s="31">
        <v>28</v>
      </c>
      <c r="DI1486" s="31" t="s">
        <v>212</v>
      </c>
      <c r="DV1486" s="31">
        <v>1740</v>
      </c>
      <c r="DW1486" s="31">
        <v>1810</v>
      </c>
      <c r="DX1486" s="31" t="s">
        <v>539</v>
      </c>
      <c r="DY1486" s="31">
        <v>29.9</v>
      </c>
      <c r="DZ1486" s="31">
        <v>31.2</v>
      </c>
      <c r="EQ1486" s="31">
        <f t="shared" si="273"/>
        <v>2.4000000000000002E-3</v>
      </c>
      <c r="ER1486" s="31">
        <f>170*0.000012</f>
        <v>2.0400000000000001E-3</v>
      </c>
      <c r="ES1486" s="31" t="s">
        <v>1270</v>
      </c>
      <c r="EY1486" s="31">
        <v>99999</v>
      </c>
      <c r="FA1486" s="31" t="s">
        <v>542</v>
      </c>
      <c r="FC1486" s="31">
        <v>68</v>
      </c>
    </row>
    <row r="1487" spans="1:159" s="31" customFormat="1" x14ac:dyDescent="0.25">
      <c r="A1487" s="31">
        <v>68</v>
      </c>
      <c r="B1487" s="31" t="s">
        <v>1240</v>
      </c>
      <c r="C1487" s="31" t="s">
        <v>1241</v>
      </c>
      <c r="D1487" s="31">
        <v>2011</v>
      </c>
      <c r="E1487" s="31">
        <v>2000</v>
      </c>
      <c r="F1487" s="31" t="s">
        <v>363</v>
      </c>
      <c r="G1487" s="31" t="s">
        <v>1244</v>
      </c>
      <c r="H1487" s="31">
        <f t="shared" si="271"/>
        <v>43.3</v>
      </c>
      <c r="I1487" s="31">
        <f t="shared" si="272"/>
        <v>-89.35</v>
      </c>
      <c r="J1487" s="31">
        <v>317.10000000000002</v>
      </c>
      <c r="P1487" s="56" t="s">
        <v>1242</v>
      </c>
      <c r="Q1487" s="56" t="s">
        <v>1057</v>
      </c>
      <c r="R1487" s="56" t="s">
        <v>1243</v>
      </c>
      <c r="S1487" s="56" t="s">
        <v>1659</v>
      </c>
      <c r="T1487" s="56" t="s">
        <v>1644</v>
      </c>
      <c r="X1487" s="31" t="s">
        <v>168</v>
      </c>
      <c r="AB1487" s="31" t="s">
        <v>1580</v>
      </c>
      <c r="AC1487" s="31" t="s">
        <v>148</v>
      </c>
      <c r="AD1487" s="153" t="str">
        <f t="shared" si="270"/>
        <v>Legume</v>
      </c>
      <c r="AE1487" s="31" t="s">
        <v>167</v>
      </c>
      <c r="AG1487" s="31" t="s">
        <v>167</v>
      </c>
      <c r="AH1487" s="31" t="s">
        <v>167</v>
      </c>
      <c r="AI1487" s="31" t="s">
        <v>230</v>
      </c>
      <c r="AJ1487" s="31" t="s">
        <v>590</v>
      </c>
      <c r="AK1487" s="31" t="s">
        <v>1252</v>
      </c>
      <c r="AL1487" s="31" t="s">
        <v>618</v>
      </c>
      <c r="AM1487" s="31" t="s">
        <v>1253</v>
      </c>
      <c r="AN1487" s="31" t="s">
        <v>1258</v>
      </c>
      <c r="AO1487" s="31" t="s">
        <v>618</v>
      </c>
      <c r="AP1487" s="31" t="s">
        <v>208</v>
      </c>
      <c r="AQ1487" s="31">
        <v>4</v>
      </c>
      <c r="AR1487" s="31">
        <v>4</v>
      </c>
      <c r="AS1487" s="31" t="s">
        <v>177</v>
      </c>
      <c r="AX1487" s="31" t="s">
        <v>1249</v>
      </c>
      <c r="BE1487" s="31">
        <v>1.1000000000000001</v>
      </c>
      <c r="BF1487" s="31">
        <v>1.32</v>
      </c>
      <c r="BH1487" s="31">
        <v>2.41</v>
      </c>
      <c r="BI1487" s="31">
        <v>2.39</v>
      </c>
      <c r="BJ1487" s="31" t="s">
        <v>750</v>
      </c>
      <c r="BK1487" s="31">
        <v>2230</v>
      </c>
      <c r="BL1487" s="31">
        <v>2400</v>
      </c>
      <c r="BM1487" s="31" t="s">
        <v>292</v>
      </c>
      <c r="BN1487" s="31">
        <v>52.5</v>
      </c>
      <c r="BO1487" s="31">
        <v>56.3</v>
      </c>
      <c r="BQ1487" s="31">
        <v>237</v>
      </c>
      <c r="BR1487" s="31">
        <v>173</v>
      </c>
      <c r="BT1487" s="31">
        <v>6.3</v>
      </c>
      <c r="BU1487" s="31">
        <v>6.7</v>
      </c>
      <c r="CF1487" s="31">
        <v>778</v>
      </c>
      <c r="CG1487" s="31">
        <v>829</v>
      </c>
      <c r="CH1487" s="31" t="s">
        <v>1271</v>
      </c>
      <c r="DG1487" s="31">
        <v>28</v>
      </c>
      <c r="DH1487" s="31">
        <v>26</v>
      </c>
      <c r="DI1487" s="31" t="s">
        <v>212</v>
      </c>
      <c r="DV1487" s="31">
        <v>1740</v>
      </c>
      <c r="DW1487" s="31">
        <v>1890</v>
      </c>
      <c r="DX1487" s="31" t="s">
        <v>539</v>
      </c>
      <c r="DY1487" s="31">
        <v>29.9</v>
      </c>
      <c r="DZ1487" s="31">
        <v>37.9</v>
      </c>
      <c r="EQ1487" s="31">
        <f t="shared" si="273"/>
        <v>2.4000000000000002E-3</v>
      </c>
      <c r="ER1487" s="31">
        <f>204*0.000012</f>
        <v>2.4480000000000001E-3</v>
      </c>
      <c r="ES1487" s="31" t="s">
        <v>1270</v>
      </c>
      <c r="EY1487" s="31">
        <v>99999</v>
      </c>
      <c r="FA1487" s="31" t="s">
        <v>542</v>
      </c>
      <c r="FC1487" s="31">
        <v>68</v>
      </c>
    </row>
    <row r="1488" spans="1:159" s="31" customFormat="1" x14ac:dyDescent="0.25">
      <c r="A1488" s="31">
        <v>68</v>
      </c>
      <c r="B1488" s="31" t="s">
        <v>1240</v>
      </c>
      <c r="C1488" s="31" t="s">
        <v>1241</v>
      </c>
      <c r="D1488" s="31">
        <v>2011</v>
      </c>
      <c r="E1488" s="31">
        <v>2000</v>
      </c>
      <c r="F1488" s="31" t="s">
        <v>363</v>
      </c>
      <c r="G1488" s="31" t="s">
        <v>1244</v>
      </c>
      <c r="H1488" s="31">
        <f t="shared" si="271"/>
        <v>43.3</v>
      </c>
      <c r="I1488" s="31">
        <f t="shared" si="272"/>
        <v>-89.35</v>
      </c>
      <c r="J1488" s="31">
        <v>317.10000000000002</v>
      </c>
      <c r="P1488" s="56" t="s">
        <v>1242</v>
      </c>
      <c r="Q1488" s="56" t="s">
        <v>1057</v>
      </c>
      <c r="R1488" s="56" t="s">
        <v>1243</v>
      </c>
      <c r="S1488" s="56" t="s">
        <v>1659</v>
      </c>
      <c r="T1488" s="56" t="s">
        <v>1644</v>
      </c>
      <c r="X1488" s="31" t="s">
        <v>168</v>
      </c>
      <c r="AB1488" s="31" t="s">
        <v>1580</v>
      </c>
      <c r="AC1488" s="31" t="s">
        <v>769</v>
      </c>
      <c r="AD1488" s="153" t="str">
        <f t="shared" si="270"/>
        <v>Mixed</v>
      </c>
      <c r="AE1488" s="31" t="s">
        <v>167</v>
      </c>
      <c r="AG1488" s="31" t="s">
        <v>167</v>
      </c>
      <c r="AH1488" s="31" t="s">
        <v>1251</v>
      </c>
      <c r="AI1488" s="31" t="s">
        <v>618</v>
      </c>
      <c r="AJ1488" s="31" t="s">
        <v>590</v>
      </c>
      <c r="AK1488" s="31" t="s">
        <v>1252</v>
      </c>
      <c r="AL1488" s="31" t="s">
        <v>618</v>
      </c>
      <c r="AM1488" s="31" t="s">
        <v>1253</v>
      </c>
      <c r="AN1488" s="31" t="s">
        <v>1259</v>
      </c>
      <c r="AO1488" s="31" t="s">
        <v>618</v>
      </c>
      <c r="AP1488" s="31" t="s">
        <v>208</v>
      </c>
      <c r="AQ1488" s="31">
        <v>4</v>
      </c>
      <c r="AR1488" s="31">
        <v>4</v>
      </c>
      <c r="AS1488" s="31" t="s">
        <v>177</v>
      </c>
      <c r="AX1488" s="31" t="s">
        <v>1250</v>
      </c>
      <c r="BE1488" s="31">
        <v>1.1000000000000001</v>
      </c>
      <c r="BF1488" s="31">
        <v>1.24</v>
      </c>
      <c r="BH1488" s="31">
        <v>2.41</v>
      </c>
      <c r="BI1488" s="31">
        <v>3.36</v>
      </c>
      <c r="BJ1488" s="31" t="s">
        <v>750</v>
      </c>
      <c r="BK1488" s="31">
        <v>2230</v>
      </c>
      <c r="BL1488" s="31">
        <v>3360</v>
      </c>
      <c r="BM1488" s="31" t="s">
        <v>292</v>
      </c>
      <c r="BN1488" s="31">
        <v>52.5</v>
      </c>
      <c r="BO1488" s="31">
        <v>49.8</v>
      </c>
      <c r="BQ1488" s="31">
        <v>237</v>
      </c>
      <c r="BR1488" s="31">
        <v>163</v>
      </c>
      <c r="BT1488" s="31">
        <v>6.3</v>
      </c>
      <c r="BU1488" s="31">
        <v>6.2</v>
      </c>
      <c r="CF1488" s="31">
        <v>778</v>
      </c>
      <c r="CG1488" s="31">
        <v>889</v>
      </c>
      <c r="CH1488" s="31" t="s">
        <v>1271</v>
      </c>
      <c r="DG1488" s="31">
        <v>28</v>
      </c>
      <c r="DH1488" s="31">
        <v>29</v>
      </c>
      <c r="DI1488" s="31" t="s">
        <v>212</v>
      </c>
      <c r="DV1488" s="31">
        <v>1740</v>
      </c>
      <c r="DW1488" s="31">
        <v>2350</v>
      </c>
      <c r="DX1488" s="31" t="s">
        <v>539</v>
      </c>
      <c r="DY1488" s="31">
        <v>29.9</v>
      </c>
      <c r="DZ1488" s="31">
        <v>61.2</v>
      </c>
      <c r="EQ1488" s="31">
        <f t="shared" si="273"/>
        <v>2.4000000000000002E-3</v>
      </c>
      <c r="ER1488" s="31">
        <f>523*0.000012</f>
        <v>6.2760000000000003E-3</v>
      </c>
      <c r="ES1488" s="31" t="s">
        <v>1270</v>
      </c>
      <c r="EY1488" s="31">
        <v>99999</v>
      </c>
      <c r="FA1488" s="31" t="s">
        <v>542</v>
      </c>
      <c r="FC1488" s="31">
        <v>68</v>
      </c>
    </row>
    <row r="1489" spans="1:159" s="38" customFormat="1" x14ac:dyDescent="0.25">
      <c r="A1489" s="38">
        <v>68</v>
      </c>
      <c r="B1489" s="38" t="s">
        <v>1240</v>
      </c>
      <c r="C1489" s="38" t="s">
        <v>1241</v>
      </c>
      <c r="D1489" s="38">
        <v>2011</v>
      </c>
      <c r="E1489" s="38">
        <v>2000</v>
      </c>
      <c r="F1489" s="38" t="s">
        <v>363</v>
      </c>
      <c r="G1489" s="38" t="s">
        <v>1244</v>
      </c>
      <c r="H1489" s="38">
        <f t="shared" si="271"/>
        <v>43.3</v>
      </c>
      <c r="I1489" s="38">
        <f t="shared" si="272"/>
        <v>-89.35</v>
      </c>
      <c r="J1489" s="38">
        <v>317.10000000000002</v>
      </c>
      <c r="P1489" s="57" t="s">
        <v>1242</v>
      </c>
      <c r="Q1489" s="57" t="s">
        <v>1057</v>
      </c>
      <c r="R1489" s="57" t="s">
        <v>1243</v>
      </c>
      <c r="S1489" s="57" t="s">
        <v>1659</v>
      </c>
      <c r="T1489" s="57" t="s">
        <v>1644</v>
      </c>
      <c r="X1489" s="38" t="s">
        <v>168</v>
      </c>
      <c r="AB1489" s="38" t="s">
        <v>1580</v>
      </c>
      <c r="AC1489" s="38" t="s">
        <v>1811</v>
      </c>
      <c r="AD1489" s="153" t="str">
        <f t="shared" si="270"/>
        <v>Winter_wheat</v>
      </c>
      <c r="AE1489" s="38" t="s">
        <v>824</v>
      </c>
      <c r="AG1489" s="38" t="s">
        <v>824</v>
      </c>
      <c r="AH1489" s="38" t="s">
        <v>1146</v>
      </c>
      <c r="AI1489" s="38" t="s">
        <v>230</v>
      </c>
      <c r="AJ1489" s="38" t="s">
        <v>1269</v>
      </c>
      <c r="AK1489" s="38" t="s">
        <v>1252</v>
      </c>
      <c r="AL1489" s="38" t="s">
        <v>618</v>
      </c>
      <c r="AM1489" s="38" t="s">
        <v>1268</v>
      </c>
      <c r="AN1489" s="38" t="s">
        <v>1254</v>
      </c>
      <c r="AO1489" s="38" t="s">
        <v>618</v>
      </c>
      <c r="AP1489" s="38" t="s">
        <v>208</v>
      </c>
      <c r="AQ1489" s="38">
        <v>4</v>
      </c>
      <c r="AR1489" s="38">
        <v>4</v>
      </c>
      <c r="AS1489" s="38" t="s">
        <v>177</v>
      </c>
      <c r="AX1489" s="38" t="s">
        <v>1262</v>
      </c>
      <c r="BE1489" s="38">
        <v>1.18</v>
      </c>
      <c r="BF1489" s="38">
        <v>1.07</v>
      </c>
      <c r="BH1489" s="38">
        <v>2.65</v>
      </c>
      <c r="BI1489" s="38">
        <v>2.19</v>
      </c>
      <c r="BJ1489" s="38" t="s">
        <v>750</v>
      </c>
      <c r="BK1489" s="38">
        <v>2470</v>
      </c>
      <c r="BL1489" s="38">
        <v>2030</v>
      </c>
      <c r="BM1489" s="38" t="s">
        <v>292</v>
      </c>
      <c r="BN1489" s="38">
        <v>37</v>
      </c>
      <c r="BO1489" s="38">
        <v>45.3</v>
      </c>
      <c r="BQ1489" s="38">
        <v>144</v>
      </c>
      <c r="BR1489" s="38">
        <v>148</v>
      </c>
      <c r="BT1489" s="38">
        <v>6.6</v>
      </c>
      <c r="BU1489" s="38">
        <v>6.7</v>
      </c>
      <c r="CF1489" s="38">
        <v>742</v>
      </c>
      <c r="CG1489" s="38">
        <v>665</v>
      </c>
      <c r="CH1489" s="38" t="s">
        <v>1271</v>
      </c>
      <c r="DG1489" s="38">
        <v>29</v>
      </c>
      <c r="DH1489" s="38">
        <v>28</v>
      </c>
      <c r="DI1489" s="38" t="s">
        <v>212</v>
      </c>
      <c r="DV1489" s="38">
        <v>1900</v>
      </c>
      <c r="DW1489" s="38">
        <v>1840</v>
      </c>
      <c r="DX1489" s="38" t="s">
        <v>539</v>
      </c>
      <c r="DY1489" s="38">
        <v>36.700000000000003</v>
      </c>
      <c r="DZ1489" s="38">
        <v>31.5</v>
      </c>
      <c r="EQ1489" s="38">
        <f>198*0.000012</f>
        <v>2.3760000000000001E-3</v>
      </c>
      <c r="ER1489" s="38">
        <f>161*0.000012</f>
        <v>1.9320000000000001E-3</v>
      </c>
      <c r="ES1489" s="38" t="s">
        <v>1261</v>
      </c>
      <c r="EY1489" s="31">
        <v>99999</v>
      </c>
      <c r="EZ1489" s="31"/>
      <c r="FA1489" s="38" t="s">
        <v>542</v>
      </c>
      <c r="FC1489" s="38">
        <v>68</v>
      </c>
    </row>
    <row r="1490" spans="1:159" s="38" customFormat="1" x14ac:dyDescent="0.25">
      <c r="A1490" s="38">
        <v>68</v>
      </c>
      <c r="B1490" s="38" t="s">
        <v>1240</v>
      </c>
      <c r="C1490" s="38" t="s">
        <v>1241</v>
      </c>
      <c r="D1490" s="38">
        <v>2011</v>
      </c>
      <c r="E1490" s="38">
        <v>2000</v>
      </c>
      <c r="F1490" s="38" t="s">
        <v>363</v>
      </c>
      <c r="G1490" s="38" t="s">
        <v>1244</v>
      </c>
      <c r="H1490" s="38">
        <f t="shared" si="271"/>
        <v>43.3</v>
      </c>
      <c r="I1490" s="38">
        <f t="shared" si="272"/>
        <v>-89.35</v>
      </c>
      <c r="J1490" s="38">
        <v>317.10000000000002</v>
      </c>
      <c r="P1490" s="57" t="s">
        <v>1242</v>
      </c>
      <c r="Q1490" s="57" t="s">
        <v>1057</v>
      </c>
      <c r="R1490" s="57" t="s">
        <v>1243</v>
      </c>
      <c r="S1490" s="57" t="s">
        <v>1659</v>
      </c>
      <c r="T1490" s="57" t="s">
        <v>1644</v>
      </c>
      <c r="X1490" s="38" t="s">
        <v>168</v>
      </c>
      <c r="AB1490" s="38" t="s">
        <v>1580</v>
      </c>
      <c r="AC1490" s="38" t="s">
        <v>148</v>
      </c>
      <c r="AD1490" s="153" t="str">
        <f t="shared" si="270"/>
        <v>Legume</v>
      </c>
      <c r="AE1490" s="38" t="s">
        <v>824</v>
      </c>
      <c r="AG1490" s="38" t="s">
        <v>824</v>
      </c>
      <c r="AH1490" s="38" t="s">
        <v>167</v>
      </c>
      <c r="AI1490" s="38" t="s">
        <v>618</v>
      </c>
      <c r="AJ1490" s="38" t="s">
        <v>1269</v>
      </c>
      <c r="AK1490" s="38" t="s">
        <v>1252</v>
      </c>
      <c r="AL1490" s="38" t="s">
        <v>618</v>
      </c>
      <c r="AM1490" s="38" t="s">
        <v>1268</v>
      </c>
      <c r="AN1490" s="38" t="s">
        <v>1255</v>
      </c>
      <c r="AO1490" s="38" t="s">
        <v>618</v>
      </c>
      <c r="AP1490" s="38" t="s">
        <v>208</v>
      </c>
      <c r="AQ1490" s="38">
        <v>4</v>
      </c>
      <c r="AR1490" s="38">
        <v>4</v>
      </c>
      <c r="AS1490" s="38" t="s">
        <v>177</v>
      </c>
      <c r="AX1490" s="38" t="s">
        <v>1263</v>
      </c>
      <c r="BE1490" s="38">
        <v>1.18</v>
      </c>
      <c r="BF1490" s="38">
        <v>1.32</v>
      </c>
      <c r="BH1490" s="38">
        <v>2.65</v>
      </c>
      <c r="BI1490" s="38">
        <v>2.5</v>
      </c>
      <c r="BJ1490" s="38" t="s">
        <v>750</v>
      </c>
      <c r="BK1490" s="38">
        <v>2470</v>
      </c>
      <c r="BL1490" s="38">
        <v>2430</v>
      </c>
      <c r="BM1490" s="38" t="s">
        <v>292</v>
      </c>
      <c r="BN1490" s="38">
        <v>37</v>
      </c>
      <c r="BO1490" s="38">
        <v>61.5</v>
      </c>
      <c r="BQ1490" s="38">
        <v>144</v>
      </c>
      <c r="BR1490" s="38">
        <v>135</v>
      </c>
      <c r="BT1490" s="38">
        <v>6.6</v>
      </c>
      <c r="BU1490" s="38">
        <v>6.9</v>
      </c>
      <c r="CF1490" s="38">
        <v>742</v>
      </c>
      <c r="CG1490" s="38">
        <v>817</v>
      </c>
      <c r="CH1490" s="38" t="s">
        <v>1271</v>
      </c>
      <c r="DG1490" s="38">
        <v>29</v>
      </c>
      <c r="DH1490" s="38">
        <v>28</v>
      </c>
      <c r="DI1490" s="38" t="s">
        <v>212</v>
      </c>
      <c r="DV1490" s="38">
        <v>1900</v>
      </c>
      <c r="DW1490" s="38">
        <v>1880</v>
      </c>
      <c r="DX1490" s="38" t="s">
        <v>539</v>
      </c>
      <c r="DY1490" s="38">
        <v>36.700000000000003</v>
      </c>
      <c r="DZ1490" s="38">
        <v>37.4</v>
      </c>
      <c r="EQ1490" s="38">
        <f t="shared" ref="EQ1490:EQ1494" si="274">198*0.000012</f>
        <v>2.3760000000000001E-3</v>
      </c>
      <c r="ER1490" s="38">
        <f>250*0.000012</f>
        <v>3.0000000000000001E-3</v>
      </c>
      <c r="ES1490" s="38" t="s">
        <v>1261</v>
      </c>
      <c r="EY1490" s="31">
        <v>99999</v>
      </c>
      <c r="EZ1490" s="31"/>
      <c r="FA1490" s="38" t="s">
        <v>542</v>
      </c>
      <c r="FC1490" s="38">
        <v>68</v>
      </c>
    </row>
    <row r="1491" spans="1:159" s="38" customFormat="1" x14ac:dyDescent="0.25">
      <c r="A1491" s="38">
        <v>68</v>
      </c>
      <c r="B1491" s="38" t="s">
        <v>1240</v>
      </c>
      <c r="C1491" s="38" t="s">
        <v>1241</v>
      </c>
      <c r="D1491" s="38">
        <v>2011</v>
      </c>
      <c r="E1491" s="38">
        <v>2000</v>
      </c>
      <c r="F1491" s="38" t="s">
        <v>363</v>
      </c>
      <c r="G1491" s="38" t="s">
        <v>1244</v>
      </c>
      <c r="H1491" s="38">
        <f t="shared" si="271"/>
        <v>43.3</v>
      </c>
      <c r="I1491" s="38">
        <f t="shared" si="272"/>
        <v>-89.35</v>
      </c>
      <c r="J1491" s="38">
        <v>317.10000000000002</v>
      </c>
      <c r="P1491" s="57" t="s">
        <v>1242</v>
      </c>
      <c r="Q1491" s="57" t="s">
        <v>1057</v>
      </c>
      <c r="R1491" s="57" t="s">
        <v>1243</v>
      </c>
      <c r="S1491" s="57" t="s">
        <v>1659</v>
      </c>
      <c r="T1491" s="57" t="s">
        <v>1644</v>
      </c>
      <c r="X1491" s="38" t="s">
        <v>168</v>
      </c>
      <c r="AB1491" s="38" t="s">
        <v>1580</v>
      </c>
      <c r="AC1491" s="38" t="s">
        <v>148</v>
      </c>
      <c r="AD1491" s="153" t="str">
        <f t="shared" si="270"/>
        <v>Legume</v>
      </c>
      <c r="AE1491" s="38" t="s">
        <v>824</v>
      </c>
      <c r="AG1491" s="38" t="s">
        <v>824</v>
      </c>
      <c r="AH1491" s="38" t="s">
        <v>167</v>
      </c>
      <c r="AI1491" s="38" t="s">
        <v>618</v>
      </c>
      <c r="AJ1491" s="38" t="s">
        <v>1269</v>
      </c>
      <c r="AK1491" s="38" t="s">
        <v>1252</v>
      </c>
      <c r="AL1491" s="38" t="s">
        <v>618</v>
      </c>
      <c r="AM1491" s="38" t="s">
        <v>1268</v>
      </c>
      <c r="AN1491" s="38" t="s">
        <v>1256</v>
      </c>
      <c r="AO1491" s="38" t="s">
        <v>618</v>
      </c>
      <c r="AP1491" s="38" t="s">
        <v>208</v>
      </c>
      <c r="AQ1491" s="38">
        <v>4</v>
      </c>
      <c r="AR1491" s="38">
        <v>4</v>
      </c>
      <c r="AS1491" s="38" t="s">
        <v>177</v>
      </c>
      <c r="AX1491" s="38" t="s">
        <v>1264</v>
      </c>
      <c r="BE1491" s="38">
        <v>1.18</v>
      </c>
      <c r="BF1491" s="38">
        <v>1.37</v>
      </c>
      <c r="BH1491" s="38">
        <v>2.65</v>
      </c>
      <c r="BI1491" s="38">
        <v>2.59</v>
      </c>
      <c r="BJ1491" s="38" t="s">
        <v>750</v>
      </c>
      <c r="BK1491" s="38">
        <v>2470</v>
      </c>
      <c r="BL1491" s="38">
        <v>2680</v>
      </c>
      <c r="BM1491" s="38" t="s">
        <v>292</v>
      </c>
      <c r="BN1491" s="38">
        <v>37</v>
      </c>
      <c r="BO1491" s="38">
        <v>72.8</v>
      </c>
      <c r="BQ1491" s="38">
        <v>144</v>
      </c>
      <c r="BR1491" s="38">
        <v>231</v>
      </c>
      <c r="BT1491" s="38">
        <v>6.6</v>
      </c>
      <c r="BU1491" s="38">
        <v>6.6</v>
      </c>
      <c r="CF1491" s="38">
        <v>742</v>
      </c>
      <c r="CG1491" s="38">
        <v>801</v>
      </c>
      <c r="CH1491" s="38" t="s">
        <v>1271</v>
      </c>
      <c r="DG1491" s="38">
        <v>29</v>
      </c>
      <c r="DH1491" s="38">
        <v>23</v>
      </c>
      <c r="DI1491" s="38" t="s">
        <v>212</v>
      </c>
      <c r="DV1491" s="38">
        <v>1900</v>
      </c>
      <c r="DW1491" s="38">
        <v>1900</v>
      </c>
      <c r="DX1491" s="38" t="s">
        <v>539</v>
      </c>
      <c r="DY1491" s="38">
        <v>36.700000000000003</v>
      </c>
      <c r="DZ1491" s="38">
        <v>36.799999999999997</v>
      </c>
      <c r="EQ1491" s="38">
        <f t="shared" si="274"/>
        <v>2.3760000000000001E-3</v>
      </c>
      <c r="ER1491" s="38">
        <f>181*0.000012</f>
        <v>2.1719999999999999E-3</v>
      </c>
      <c r="ES1491" s="38" t="s">
        <v>1270</v>
      </c>
      <c r="EY1491" s="31">
        <v>99999</v>
      </c>
      <c r="EZ1491" s="31"/>
      <c r="FA1491" s="38" t="s">
        <v>542</v>
      </c>
      <c r="FC1491" s="38">
        <v>68</v>
      </c>
    </row>
    <row r="1492" spans="1:159" s="38" customFormat="1" x14ac:dyDescent="0.25">
      <c r="A1492" s="38">
        <v>68</v>
      </c>
      <c r="B1492" s="38" t="s">
        <v>1240</v>
      </c>
      <c r="C1492" s="38" t="s">
        <v>1241</v>
      </c>
      <c r="D1492" s="38">
        <v>2011</v>
      </c>
      <c r="E1492" s="38">
        <v>2000</v>
      </c>
      <c r="F1492" s="38" t="s">
        <v>363</v>
      </c>
      <c r="G1492" s="38" t="s">
        <v>1244</v>
      </c>
      <c r="H1492" s="38">
        <f t="shared" si="271"/>
        <v>43.3</v>
      </c>
      <c r="I1492" s="38">
        <f t="shared" si="272"/>
        <v>-89.35</v>
      </c>
      <c r="J1492" s="38">
        <v>317.10000000000002</v>
      </c>
      <c r="P1492" s="57" t="s">
        <v>1242</v>
      </c>
      <c r="Q1492" s="57" t="s">
        <v>1057</v>
      </c>
      <c r="R1492" s="57" t="s">
        <v>1243</v>
      </c>
      <c r="S1492" s="57" t="s">
        <v>1659</v>
      </c>
      <c r="T1492" s="57" t="s">
        <v>1644</v>
      </c>
      <c r="X1492" s="38" t="s">
        <v>168</v>
      </c>
      <c r="AB1492" s="38" t="s">
        <v>1580</v>
      </c>
      <c r="AC1492" s="38" t="s">
        <v>148</v>
      </c>
      <c r="AD1492" s="153" t="str">
        <f t="shared" si="270"/>
        <v>Legume</v>
      </c>
      <c r="AE1492" s="38" t="s">
        <v>824</v>
      </c>
      <c r="AG1492" s="38" t="s">
        <v>824</v>
      </c>
      <c r="AH1492" s="38" t="s">
        <v>167</v>
      </c>
      <c r="AI1492" s="38" t="s">
        <v>618</v>
      </c>
      <c r="AJ1492" s="38" t="s">
        <v>1269</v>
      </c>
      <c r="AK1492" s="38" t="s">
        <v>1252</v>
      </c>
      <c r="AL1492" s="38" t="s">
        <v>618</v>
      </c>
      <c r="AM1492" s="38" t="s">
        <v>1268</v>
      </c>
      <c r="AN1492" s="38" t="s">
        <v>1257</v>
      </c>
      <c r="AO1492" s="38" t="s">
        <v>618</v>
      </c>
      <c r="AP1492" s="38" t="s">
        <v>208</v>
      </c>
      <c r="AQ1492" s="38">
        <v>4</v>
      </c>
      <c r="AR1492" s="38">
        <v>4</v>
      </c>
      <c r="AS1492" s="38" t="s">
        <v>177</v>
      </c>
      <c r="AX1492" s="38" t="s">
        <v>1265</v>
      </c>
      <c r="BE1492" s="38">
        <v>1.18</v>
      </c>
      <c r="BF1492" s="38">
        <v>1.1299999999999999</v>
      </c>
      <c r="BH1492" s="38">
        <v>2.65</v>
      </c>
      <c r="BI1492" s="38">
        <v>2.39</v>
      </c>
      <c r="BJ1492" s="38" t="s">
        <v>750</v>
      </c>
      <c r="BK1492" s="38">
        <v>2470</v>
      </c>
      <c r="BL1492" s="38">
        <v>2300</v>
      </c>
      <c r="BM1492" s="38" t="s">
        <v>292</v>
      </c>
      <c r="BN1492" s="38">
        <v>37</v>
      </c>
      <c r="BO1492" s="38">
        <v>58.3</v>
      </c>
      <c r="BQ1492" s="38">
        <v>144</v>
      </c>
      <c r="BR1492" s="38">
        <v>145</v>
      </c>
      <c r="BT1492" s="38">
        <v>6.6</v>
      </c>
      <c r="BU1492" s="38">
        <v>6.8</v>
      </c>
      <c r="CF1492" s="38">
        <v>742</v>
      </c>
      <c r="CG1492" s="38">
        <v>766</v>
      </c>
      <c r="CH1492" s="38" t="s">
        <v>1271</v>
      </c>
      <c r="DG1492" s="38">
        <v>29</v>
      </c>
      <c r="DH1492" s="38">
        <v>28</v>
      </c>
      <c r="DI1492" s="38" t="s">
        <v>212</v>
      </c>
      <c r="DV1492" s="38">
        <v>1900</v>
      </c>
      <c r="DW1492" s="38">
        <v>1810</v>
      </c>
      <c r="DX1492" s="38" t="s">
        <v>539</v>
      </c>
      <c r="DY1492" s="38">
        <v>36.700000000000003</v>
      </c>
      <c r="DZ1492" s="38">
        <v>31.2</v>
      </c>
      <c r="EQ1492" s="38">
        <f t="shared" si="274"/>
        <v>2.3760000000000001E-3</v>
      </c>
      <c r="ER1492" s="38">
        <f>170*0.000012</f>
        <v>2.0400000000000001E-3</v>
      </c>
      <c r="ES1492" s="38" t="s">
        <v>1270</v>
      </c>
      <c r="EY1492" s="31">
        <v>99999</v>
      </c>
      <c r="EZ1492" s="31"/>
      <c r="FA1492" s="38" t="s">
        <v>542</v>
      </c>
      <c r="FC1492" s="38">
        <v>68</v>
      </c>
    </row>
    <row r="1493" spans="1:159" s="38" customFormat="1" x14ac:dyDescent="0.25">
      <c r="A1493" s="38">
        <v>68</v>
      </c>
      <c r="B1493" s="38" t="s">
        <v>1240</v>
      </c>
      <c r="C1493" s="38" t="s">
        <v>1241</v>
      </c>
      <c r="D1493" s="38">
        <v>2011</v>
      </c>
      <c r="E1493" s="38">
        <v>2000</v>
      </c>
      <c r="F1493" s="38" t="s">
        <v>363</v>
      </c>
      <c r="G1493" s="38" t="s">
        <v>1244</v>
      </c>
      <c r="H1493" s="38">
        <f t="shared" si="271"/>
        <v>43.3</v>
      </c>
      <c r="I1493" s="38">
        <f t="shared" si="272"/>
        <v>-89.35</v>
      </c>
      <c r="J1493" s="38">
        <v>317.10000000000002</v>
      </c>
      <c r="P1493" s="57" t="s">
        <v>1242</v>
      </c>
      <c r="Q1493" s="57" t="s">
        <v>1057</v>
      </c>
      <c r="R1493" s="57" t="s">
        <v>1243</v>
      </c>
      <c r="S1493" s="57" t="s">
        <v>1659</v>
      </c>
      <c r="T1493" s="57" t="s">
        <v>1644</v>
      </c>
      <c r="X1493" s="38" t="s">
        <v>168</v>
      </c>
      <c r="AB1493" s="38" t="s">
        <v>1580</v>
      </c>
      <c r="AC1493" s="38" t="s">
        <v>148</v>
      </c>
      <c r="AD1493" s="153" t="str">
        <f t="shared" si="270"/>
        <v>Legume</v>
      </c>
      <c r="AE1493" s="38" t="s">
        <v>824</v>
      </c>
      <c r="AG1493" s="38" t="s">
        <v>824</v>
      </c>
      <c r="AH1493" s="38" t="s">
        <v>167</v>
      </c>
      <c r="AI1493" s="38" t="s">
        <v>618</v>
      </c>
      <c r="AJ1493" s="38" t="s">
        <v>1269</v>
      </c>
      <c r="AK1493" s="38" t="s">
        <v>1252</v>
      </c>
      <c r="AL1493" s="38" t="s">
        <v>618</v>
      </c>
      <c r="AM1493" s="38" t="s">
        <v>1268</v>
      </c>
      <c r="AN1493" s="38" t="s">
        <v>1258</v>
      </c>
      <c r="AO1493" s="38" t="s">
        <v>618</v>
      </c>
      <c r="AP1493" s="38" t="s">
        <v>208</v>
      </c>
      <c r="AQ1493" s="38">
        <v>4</v>
      </c>
      <c r="AR1493" s="38">
        <v>4</v>
      </c>
      <c r="AS1493" s="38" t="s">
        <v>177</v>
      </c>
      <c r="AX1493" s="38" t="s">
        <v>1266</v>
      </c>
      <c r="BE1493" s="38">
        <v>1.18</v>
      </c>
      <c r="BF1493" s="38">
        <v>1.32</v>
      </c>
      <c r="BH1493" s="38">
        <v>2.65</v>
      </c>
      <c r="BI1493" s="38">
        <v>2.39</v>
      </c>
      <c r="BJ1493" s="38" t="s">
        <v>750</v>
      </c>
      <c r="BK1493" s="38">
        <v>2470</v>
      </c>
      <c r="BL1493" s="38">
        <v>2400</v>
      </c>
      <c r="BM1493" s="38" t="s">
        <v>292</v>
      </c>
      <c r="BN1493" s="38">
        <v>37</v>
      </c>
      <c r="BO1493" s="38">
        <v>56.3</v>
      </c>
      <c r="BQ1493" s="38">
        <v>144</v>
      </c>
      <c r="BR1493" s="38">
        <v>173</v>
      </c>
      <c r="BT1493" s="38">
        <v>6.6</v>
      </c>
      <c r="BU1493" s="38">
        <v>6.7</v>
      </c>
      <c r="CF1493" s="38">
        <v>742</v>
      </c>
      <c r="CG1493" s="38">
        <v>829</v>
      </c>
      <c r="CH1493" s="38" t="s">
        <v>1271</v>
      </c>
      <c r="DG1493" s="38">
        <v>29</v>
      </c>
      <c r="DH1493" s="38">
        <v>26</v>
      </c>
      <c r="DI1493" s="38" t="s">
        <v>212</v>
      </c>
      <c r="DV1493" s="38">
        <v>1900</v>
      </c>
      <c r="DW1493" s="38">
        <v>1890</v>
      </c>
      <c r="DX1493" s="38" t="s">
        <v>539</v>
      </c>
      <c r="DY1493" s="38">
        <v>36.700000000000003</v>
      </c>
      <c r="DZ1493" s="38">
        <v>37.9</v>
      </c>
      <c r="EQ1493" s="38">
        <f t="shared" si="274"/>
        <v>2.3760000000000001E-3</v>
      </c>
      <c r="ER1493" s="38">
        <f>204*0.000012</f>
        <v>2.4480000000000001E-3</v>
      </c>
      <c r="ES1493" s="38" t="s">
        <v>1270</v>
      </c>
      <c r="EY1493" s="31">
        <v>99999</v>
      </c>
      <c r="EZ1493" s="31"/>
      <c r="FA1493" s="38" t="s">
        <v>542</v>
      </c>
      <c r="FC1493" s="38">
        <v>68</v>
      </c>
    </row>
    <row r="1494" spans="1:159" s="38" customFormat="1" x14ac:dyDescent="0.25">
      <c r="A1494" s="38">
        <v>68</v>
      </c>
      <c r="B1494" s="38" t="s">
        <v>1240</v>
      </c>
      <c r="C1494" s="38" t="s">
        <v>1241</v>
      </c>
      <c r="D1494" s="38">
        <v>2011</v>
      </c>
      <c r="E1494" s="38">
        <v>2000</v>
      </c>
      <c r="F1494" s="38" t="s">
        <v>363</v>
      </c>
      <c r="G1494" s="38" t="s">
        <v>1244</v>
      </c>
      <c r="H1494" s="38">
        <f t="shared" si="271"/>
        <v>43.3</v>
      </c>
      <c r="I1494" s="38">
        <f t="shared" si="272"/>
        <v>-89.35</v>
      </c>
      <c r="J1494" s="38">
        <v>317.10000000000002</v>
      </c>
      <c r="P1494" s="57" t="s">
        <v>1242</v>
      </c>
      <c r="Q1494" s="57" t="s">
        <v>1057</v>
      </c>
      <c r="R1494" s="57" t="s">
        <v>1243</v>
      </c>
      <c r="S1494" s="57" t="s">
        <v>1659</v>
      </c>
      <c r="T1494" s="57" t="s">
        <v>1644</v>
      </c>
      <c r="X1494" s="38" t="s">
        <v>168</v>
      </c>
      <c r="AB1494" s="38" t="s">
        <v>1580</v>
      </c>
      <c r="AC1494" s="38" t="s">
        <v>769</v>
      </c>
      <c r="AD1494" s="153" t="str">
        <f t="shared" si="270"/>
        <v>Mixed</v>
      </c>
      <c r="AE1494" s="38" t="s">
        <v>824</v>
      </c>
      <c r="AG1494" s="38" t="s">
        <v>824</v>
      </c>
      <c r="AH1494" s="38" t="s">
        <v>1251</v>
      </c>
      <c r="AI1494" s="38" t="s">
        <v>618</v>
      </c>
      <c r="AJ1494" s="38" t="s">
        <v>1269</v>
      </c>
      <c r="AK1494" s="38" t="s">
        <v>1252</v>
      </c>
      <c r="AL1494" s="38" t="s">
        <v>618</v>
      </c>
      <c r="AM1494" s="38" t="s">
        <v>1268</v>
      </c>
      <c r="AN1494" s="38" t="s">
        <v>1259</v>
      </c>
      <c r="AO1494" s="38" t="s">
        <v>618</v>
      </c>
      <c r="AP1494" s="38" t="s">
        <v>208</v>
      </c>
      <c r="AQ1494" s="38">
        <v>4</v>
      </c>
      <c r="AR1494" s="38">
        <v>4</v>
      </c>
      <c r="AS1494" s="38" t="s">
        <v>177</v>
      </c>
      <c r="AX1494" s="38" t="s">
        <v>1267</v>
      </c>
      <c r="BE1494" s="38">
        <v>1.18</v>
      </c>
      <c r="BF1494" s="38">
        <v>1.24</v>
      </c>
      <c r="BH1494" s="38">
        <v>2.65</v>
      </c>
      <c r="BI1494" s="38">
        <v>3.36</v>
      </c>
      <c r="BJ1494" s="38" t="s">
        <v>750</v>
      </c>
      <c r="BK1494" s="38">
        <v>2470</v>
      </c>
      <c r="BL1494" s="38">
        <v>3360</v>
      </c>
      <c r="BM1494" s="38" t="s">
        <v>292</v>
      </c>
      <c r="BN1494" s="38">
        <v>37</v>
      </c>
      <c r="BO1494" s="38">
        <v>49.8</v>
      </c>
      <c r="BQ1494" s="38">
        <v>144</v>
      </c>
      <c r="BR1494" s="38">
        <v>163</v>
      </c>
      <c r="BT1494" s="38">
        <v>6.6</v>
      </c>
      <c r="BU1494" s="38">
        <v>6.2</v>
      </c>
      <c r="CF1494" s="38">
        <v>742</v>
      </c>
      <c r="CG1494" s="38">
        <v>889</v>
      </c>
      <c r="CH1494" s="38" t="s">
        <v>1271</v>
      </c>
      <c r="DG1494" s="38">
        <v>29</v>
      </c>
      <c r="DH1494" s="38">
        <v>29</v>
      </c>
      <c r="DI1494" s="38" t="s">
        <v>212</v>
      </c>
      <c r="DV1494" s="38">
        <v>1900</v>
      </c>
      <c r="DW1494" s="38">
        <v>2350</v>
      </c>
      <c r="DX1494" s="38" t="s">
        <v>539</v>
      </c>
      <c r="DY1494" s="38">
        <v>36.700000000000003</v>
      </c>
      <c r="DZ1494" s="38">
        <v>61.2</v>
      </c>
      <c r="EQ1494" s="38">
        <f t="shared" si="274"/>
        <v>2.3760000000000001E-3</v>
      </c>
      <c r="ER1494" s="38">
        <f>523*0.000012</f>
        <v>6.2760000000000003E-3</v>
      </c>
      <c r="ES1494" s="38" t="s">
        <v>1270</v>
      </c>
      <c r="EY1494" s="31">
        <v>99999</v>
      </c>
      <c r="EZ1494" s="31"/>
      <c r="FA1494" s="38" t="s">
        <v>542</v>
      </c>
      <c r="FC1494" s="38">
        <v>68</v>
      </c>
    </row>
    <row r="1495" spans="1:159" s="109" customFormat="1" x14ac:dyDescent="0.25">
      <c r="A1495" s="109">
        <v>68</v>
      </c>
      <c r="B1495" s="109" t="s">
        <v>1240</v>
      </c>
      <c r="C1495" s="109" t="s">
        <v>1241</v>
      </c>
      <c r="D1495" s="109">
        <v>2011</v>
      </c>
      <c r="E1495" s="109">
        <v>2000</v>
      </c>
      <c r="F1495" s="109" t="s">
        <v>363</v>
      </c>
      <c r="G1495" s="109" t="s">
        <v>1244</v>
      </c>
      <c r="H1495" s="109">
        <f t="shared" si="271"/>
        <v>43.3</v>
      </c>
      <c r="I1495" s="109">
        <f t="shared" si="272"/>
        <v>-89.35</v>
      </c>
      <c r="J1495" s="109">
        <v>317.10000000000002</v>
      </c>
      <c r="P1495" s="110" t="s">
        <v>1242</v>
      </c>
      <c r="Q1495" s="110" t="s">
        <v>1057</v>
      </c>
      <c r="R1495" s="110" t="s">
        <v>1243</v>
      </c>
      <c r="S1495" s="110" t="s">
        <v>1679</v>
      </c>
      <c r="T1495" s="56" t="s">
        <v>1644</v>
      </c>
      <c r="X1495" s="109" t="s">
        <v>168</v>
      </c>
      <c r="AB1495" s="31" t="s">
        <v>1580</v>
      </c>
      <c r="AC1495" s="109" t="s">
        <v>1811</v>
      </c>
      <c r="AD1495" s="153" t="str">
        <f t="shared" si="270"/>
        <v>Winter_wheat</v>
      </c>
      <c r="AE1495" s="109" t="s">
        <v>167</v>
      </c>
      <c r="AG1495" s="109" t="s">
        <v>167</v>
      </c>
      <c r="AH1495" s="109" t="s">
        <v>1146</v>
      </c>
      <c r="AI1495" s="109" t="s">
        <v>618</v>
      </c>
      <c r="AJ1495" s="109" t="s">
        <v>590</v>
      </c>
      <c r="AK1495" s="109" t="s">
        <v>1252</v>
      </c>
      <c r="AL1495" s="109" t="s">
        <v>618</v>
      </c>
      <c r="AM1495" s="109" t="s">
        <v>1253</v>
      </c>
      <c r="AN1495" s="109" t="s">
        <v>1254</v>
      </c>
      <c r="AO1495" s="109" t="s">
        <v>618</v>
      </c>
      <c r="AP1495" s="109" t="s">
        <v>208</v>
      </c>
      <c r="AQ1495" s="109">
        <v>4</v>
      </c>
      <c r="AR1495" s="109">
        <v>4</v>
      </c>
      <c r="AS1495" s="109" t="s">
        <v>177</v>
      </c>
      <c r="AX1495" s="109" t="s">
        <v>1245</v>
      </c>
      <c r="BE1495" s="109">
        <v>1.41</v>
      </c>
      <c r="BF1495" s="109">
        <v>1.47</v>
      </c>
      <c r="BH1495" s="109">
        <v>2.1800000000000002</v>
      </c>
      <c r="BI1495" s="109">
        <v>2.08</v>
      </c>
      <c r="BJ1495" s="109" t="s">
        <v>750</v>
      </c>
      <c r="BK1495" s="109">
        <v>2100</v>
      </c>
      <c r="BL1495" s="109">
        <v>2100</v>
      </c>
      <c r="BM1495" s="109" t="s">
        <v>292</v>
      </c>
      <c r="BN1495" s="109">
        <v>42</v>
      </c>
      <c r="BO1495" s="109">
        <v>31.8</v>
      </c>
      <c r="BQ1495" s="109">
        <v>134</v>
      </c>
      <c r="BR1495" s="109">
        <v>89</v>
      </c>
      <c r="BT1495" s="109">
        <v>6.4</v>
      </c>
      <c r="BU1495" s="109">
        <v>6.6</v>
      </c>
      <c r="CF1495" s="109">
        <v>809</v>
      </c>
      <c r="CG1495" s="109">
        <v>861</v>
      </c>
      <c r="CH1495" s="109" t="s">
        <v>1271</v>
      </c>
      <c r="DG1495" s="109">
        <v>27</v>
      </c>
      <c r="DH1495" s="109">
        <v>26</v>
      </c>
      <c r="DI1495" s="109" t="s">
        <v>212</v>
      </c>
      <c r="DV1495" s="109">
        <v>1600</v>
      </c>
      <c r="DW1495" s="109">
        <v>1670</v>
      </c>
      <c r="DX1495" s="109" t="s">
        <v>539</v>
      </c>
      <c r="DY1495" s="109">
        <v>21.4</v>
      </c>
      <c r="DZ1495" s="109">
        <v>22.3</v>
      </c>
      <c r="EQ1495" s="109">
        <f>169*0.000012</f>
        <v>2.0279999999999999E-3</v>
      </c>
      <c r="ER1495" s="109">
        <f>150*0.000012</f>
        <v>1.8E-3</v>
      </c>
      <c r="ES1495" s="109" t="s">
        <v>1261</v>
      </c>
      <c r="EY1495" s="31">
        <v>99999</v>
      </c>
      <c r="EZ1495" s="31"/>
      <c r="FA1495" s="31" t="s">
        <v>542</v>
      </c>
      <c r="FC1495" s="109">
        <v>68</v>
      </c>
    </row>
    <row r="1496" spans="1:159" s="109" customFormat="1" x14ac:dyDescent="0.25">
      <c r="A1496" s="109">
        <v>68</v>
      </c>
      <c r="B1496" s="109" t="s">
        <v>1240</v>
      </c>
      <c r="C1496" s="109" t="s">
        <v>1241</v>
      </c>
      <c r="D1496" s="109">
        <v>2011</v>
      </c>
      <c r="E1496" s="109">
        <v>2000</v>
      </c>
      <c r="F1496" s="109" t="s">
        <v>363</v>
      </c>
      <c r="G1496" s="109" t="s">
        <v>1244</v>
      </c>
      <c r="H1496" s="109">
        <f t="shared" si="271"/>
        <v>43.3</v>
      </c>
      <c r="I1496" s="109">
        <f t="shared" si="272"/>
        <v>-89.35</v>
      </c>
      <c r="J1496" s="109">
        <v>317.10000000000002</v>
      </c>
      <c r="P1496" s="110" t="s">
        <v>1242</v>
      </c>
      <c r="Q1496" s="110" t="s">
        <v>1057</v>
      </c>
      <c r="R1496" s="110" t="s">
        <v>1243</v>
      </c>
      <c r="S1496" s="110" t="s">
        <v>1679</v>
      </c>
      <c r="T1496" s="56" t="s">
        <v>1644</v>
      </c>
      <c r="X1496" s="109" t="s">
        <v>168</v>
      </c>
      <c r="AB1496" s="31" t="s">
        <v>1580</v>
      </c>
      <c r="AC1496" s="109" t="s">
        <v>148</v>
      </c>
      <c r="AD1496" s="153" t="str">
        <f t="shared" si="270"/>
        <v>Legume</v>
      </c>
      <c r="AE1496" s="109" t="s">
        <v>167</v>
      </c>
      <c r="AG1496" s="109" t="s">
        <v>167</v>
      </c>
      <c r="AH1496" s="109" t="s">
        <v>167</v>
      </c>
      <c r="AI1496" s="109" t="s">
        <v>230</v>
      </c>
      <c r="AJ1496" s="109" t="s">
        <v>590</v>
      </c>
      <c r="AK1496" s="109" t="s">
        <v>1252</v>
      </c>
      <c r="AL1496" s="109" t="s">
        <v>618</v>
      </c>
      <c r="AM1496" s="109" t="s">
        <v>1253</v>
      </c>
      <c r="AN1496" s="109" t="s">
        <v>1255</v>
      </c>
      <c r="AO1496" s="109" t="s">
        <v>618</v>
      </c>
      <c r="AP1496" s="109" t="s">
        <v>208</v>
      </c>
      <c r="AQ1496" s="109">
        <v>4</v>
      </c>
      <c r="AR1496" s="109">
        <v>4</v>
      </c>
      <c r="AS1496" s="109" t="s">
        <v>177</v>
      </c>
      <c r="AX1496" s="109" t="s">
        <v>1246</v>
      </c>
      <c r="BE1496" s="109">
        <v>1.41</v>
      </c>
      <c r="BF1496" s="109">
        <v>1.48</v>
      </c>
      <c r="BH1496" s="109">
        <v>2.1800000000000002</v>
      </c>
      <c r="BI1496" s="109">
        <v>2.11</v>
      </c>
      <c r="BJ1496" s="109" t="s">
        <v>750</v>
      </c>
      <c r="BK1496" s="109">
        <v>2100</v>
      </c>
      <c r="BL1496" s="109">
        <v>2100</v>
      </c>
      <c r="BM1496" s="109" t="s">
        <v>292</v>
      </c>
      <c r="BN1496" s="109">
        <v>42</v>
      </c>
      <c r="BO1496" s="109">
        <v>40.799999999999997</v>
      </c>
      <c r="BQ1496" s="109">
        <v>134</v>
      </c>
      <c r="BR1496" s="109">
        <v>72</v>
      </c>
      <c r="BT1496" s="109">
        <v>6.4</v>
      </c>
      <c r="BU1496" s="109">
        <v>6.8</v>
      </c>
      <c r="CF1496" s="109">
        <v>809</v>
      </c>
      <c r="CG1496" s="109">
        <v>857</v>
      </c>
      <c r="CH1496" s="109" t="s">
        <v>1271</v>
      </c>
      <c r="DG1496" s="109">
        <v>27</v>
      </c>
      <c r="DH1496" s="109">
        <v>26</v>
      </c>
      <c r="DI1496" s="109" t="s">
        <v>212</v>
      </c>
      <c r="DV1496" s="109">
        <v>1600</v>
      </c>
      <c r="DW1496" s="109">
        <v>1610</v>
      </c>
      <c r="DX1496" s="109" t="s">
        <v>539</v>
      </c>
      <c r="DY1496" s="109">
        <v>21.4</v>
      </c>
      <c r="DZ1496" s="109">
        <v>23.3</v>
      </c>
      <c r="EQ1496" s="109">
        <f t="shared" ref="EQ1496:EQ1500" si="275">169*0.000012</f>
        <v>2.0279999999999999E-3</v>
      </c>
      <c r="ER1496" s="109">
        <f>144*0.000012</f>
        <v>1.7279999999999999E-3</v>
      </c>
      <c r="ES1496" s="109" t="s">
        <v>1261</v>
      </c>
      <c r="EY1496" s="31">
        <v>99999</v>
      </c>
      <c r="EZ1496" s="31"/>
      <c r="FA1496" s="31" t="s">
        <v>542</v>
      </c>
      <c r="FC1496" s="109">
        <v>68</v>
      </c>
    </row>
    <row r="1497" spans="1:159" s="109" customFormat="1" x14ac:dyDescent="0.25">
      <c r="A1497" s="109">
        <v>68</v>
      </c>
      <c r="B1497" s="109" t="s">
        <v>1240</v>
      </c>
      <c r="C1497" s="109" t="s">
        <v>1241</v>
      </c>
      <c r="D1497" s="109">
        <v>2011</v>
      </c>
      <c r="E1497" s="109">
        <v>2000</v>
      </c>
      <c r="F1497" s="109" t="s">
        <v>363</v>
      </c>
      <c r="G1497" s="109" t="s">
        <v>1244</v>
      </c>
      <c r="H1497" s="109">
        <f t="shared" si="271"/>
        <v>43.3</v>
      </c>
      <c r="I1497" s="109">
        <f t="shared" si="272"/>
        <v>-89.35</v>
      </c>
      <c r="J1497" s="109">
        <v>317.10000000000002</v>
      </c>
      <c r="P1497" s="110" t="s">
        <v>1242</v>
      </c>
      <c r="Q1497" s="110" t="s">
        <v>1057</v>
      </c>
      <c r="R1497" s="110" t="s">
        <v>1243</v>
      </c>
      <c r="S1497" s="110" t="s">
        <v>1679</v>
      </c>
      <c r="T1497" s="56" t="s">
        <v>1644</v>
      </c>
      <c r="X1497" s="109" t="s">
        <v>168</v>
      </c>
      <c r="AB1497" s="31" t="s">
        <v>1580</v>
      </c>
      <c r="AC1497" s="109" t="s">
        <v>148</v>
      </c>
      <c r="AD1497" s="153" t="str">
        <f t="shared" si="270"/>
        <v>Legume</v>
      </c>
      <c r="AE1497" s="109" t="s">
        <v>167</v>
      </c>
      <c r="AG1497" s="109" t="s">
        <v>167</v>
      </c>
      <c r="AH1497" s="109" t="s">
        <v>167</v>
      </c>
      <c r="AI1497" s="109" t="s">
        <v>230</v>
      </c>
      <c r="AJ1497" s="109" t="s">
        <v>590</v>
      </c>
      <c r="AK1497" s="109" t="s">
        <v>1252</v>
      </c>
      <c r="AL1497" s="109" t="s">
        <v>618</v>
      </c>
      <c r="AM1497" s="109" t="s">
        <v>1253</v>
      </c>
      <c r="AN1497" s="109" t="s">
        <v>1256</v>
      </c>
      <c r="AO1497" s="109" t="s">
        <v>618</v>
      </c>
      <c r="AP1497" s="109" t="s">
        <v>208</v>
      </c>
      <c r="AQ1497" s="109">
        <v>4</v>
      </c>
      <c r="AR1497" s="109">
        <v>4</v>
      </c>
      <c r="AS1497" s="109" t="s">
        <v>177</v>
      </c>
      <c r="AX1497" s="109" t="s">
        <v>1247</v>
      </c>
      <c r="BE1497" s="109">
        <v>1.41</v>
      </c>
      <c r="BF1497" s="109">
        <v>1.37</v>
      </c>
      <c r="BH1497" s="109">
        <v>2.1800000000000002</v>
      </c>
      <c r="BI1497" s="109">
        <v>2.2000000000000002</v>
      </c>
      <c r="BJ1497" s="109" t="s">
        <v>750</v>
      </c>
      <c r="BK1497" s="109">
        <v>2100</v>
      </c>
      <c r="BL1497" s="109">
        <v>2200</v>
      </c>
      <c r="BM1497" s="109" t="s">
        <v>292</v>
      </c>
      <c r="BN1497" s="109">
        <v>42</v>
      </c>
      <c r="BO1497" s="109">
        <v>50</v>
      </c>
      <c r="BQ1497" s="109">
        <v>134</v>
      </c>
      <c r="BR1497" s="109">
        <v>83</v>
      </c>
      <c r="BT1497" s="109">
        <v>6.4</v>
      </c>
      <c r="BU1497" s="109">
        <v>6.6</v>
      </c>
      <c r="CF1497" s="109">
        <v>809</v>
      </c>
      <c r="CG1497" s="109">
        <v>842</v>
      </c>
      <c r="CH1497" s="109" t="s">
        <v>1271</v>
      </c>
      <c r="DG1497" s="109">
        <v>27</v>
      </c>
      <c r="DH1497" s="109">
        <v>25</v>
      </c>
      <c r="DI1497" s="109" t="s">
        <v>212</v>
      </c>
      <c r="DV1497" s="109">
        <v>1600</v>
      </c>
      <c r="DW1497" s="109">
        <v>1540</v>
      </c>
      <c r="DX1497" s="109" t="s">
        <v>539</v>
      </c>
      <c r="DY1497" s="109">
        <v>21.4</v>
      </c>
      <c r="DZ1497" s="109">
        <v>25.9</v>
      </c>
      <c r="EQ1497" s="109">
        <f t="shared" si="275"/>
        <v>2.0279999999999999E-3</v>
      </c>
      <c r="ER1497" s="109">
        <f>114*0.000012</f>
        <v>1.3680000000000001E-3</v>
      </c>
      <c r="ES1497" s="109" t="s">
        <v>1270</v>
      </c>
      <c r="EY1497" s="31">
        <v>99999</v>
      </c>
      <c r="EZ1497" s="31"/>
      <c r="FA1497" s="31" t="s">
        <v>542</v>
      </c>
      <c r="FC1497" s="109">
        <v>68</v>
      </c>
    </row>
    <row r="1498" spans="1:159" s="109" customFormat="1" x14ac:dyDescent="0.25">
      <c r="A1498" s="109">
        <v>68</v>
      </c>
      <c r="B1498" s="109" t="s">
        <v>1240</v>
      </c>
      <c r="C1498" s="109" t="s">
        <v>1241</v>
      </c>
      <c r="D1498" s="109">
        <v>2011</v>
      </c>
      <c r="E1498" s="109">
        <v>2000</v>
      </c>
      <c r="F1498" s="109" t="s">
        <v>363</v>
      </c>
      <c r="G1498" s="109" t="s">
        <v>1244</v>
      </c>
      <c r="H1498" s="109">
        <f t="shared" si="271"/>
        <v>43.3</v>
      </c>
      <c r="I1498" s="109">
        <f t="shared" si="272"/>
        <v>-89.35</v>
      </c>
      <c r="J1498" s="109">
        <v>317.10000000000002</v>
      </c>
      <c r="P1498" s="110" t="s">
        <v>1242</v>
      </c>
      <c r="Q1498" s="110" t="s">
        <v>1057</v>
      </c>
      <c r="R1498" s="110" t="s">
        <v>1243</v>
      </c>
      <c r="S1498" s="110" t="s">
        <v>1679</v>
      </c>
      <c r="T1498" s="56" t="s">
        <v>1644</v>
      </c>
      <c r="X1498" s="109" t="s">
        <v>168</v>
      </c>
      <c r="AB1498" s="31" t="s">
        <v>1580</v>
      </c>
      <c r="AC1498" s="109" t="s">
        <v>148</v>
      </c>
      <c r="AD1498" s="153" t="str">
        <f t="shared" si="270"/>
        <v>Legume</v>
      </c>
      <c r="AE1498" s="109" t="s">
        <v>167</v>
      </c>
      <c r="AG1498" s="109" t="s">
        <v>167</v>
      </c>
      <c r="AH1498" s="109" t="s">
        <v>167</v>
      </c>
      <c r="AI1498" s="109" t="s">
        <v>230</v>
      </c>
      <c r="AJ1498" s="109" t="s">
        <v>590</v>
      </c>
      <c r="AK1498" s="109" t="s">
        <v>1252</v>
      </c>
      <c r="AL1498" s="109" t="s">
        <v>618</v>
      </c>
      <c r="AM1498" s="109" t="s">
        <v>1253</v>
      </c>
      <c r="AN1498" s="109" t="s">
        <v>1257</v>
      </c>
      <c r="AO1498" s="109" t="s">
        <v>618</v>
      </c>
      <c r="AP1498" s="109" t="s">
        <v>208</v>
      </c>
      <c r="AQ1498" s="109">
        <v>4</v>
      </c>
      <c r="AR1498" s="109">
        <v>4</v>
      </c>
      <c r="AS1498" s="109" t="s">
        <v>177</v>
      </c>
      <c r="AX1498" s="109" t="s">
        <v>1248</v>
      </c>
      <c r="BE1498" s="109">
        <v>1.41</v>
      </c>
      <c r="BF1498" s="109">
        <v>1.37</v>
      </c>
      <c r="BH1498" s="109">
        <v>2.1800000000000002</v>
      </c>
      <c r="BI1498" s="109">
        <v>2.2999999999999998</v>
      </c>
      <c r="BJ1498" s="109" t="s">
        <v>750</v>
      </c>
      <c r="BK1498" s="109">
        <v>2100</v>
      </c>
      <c r="BL1498" s="109">
        <v>2300</v>
      </c>
      <c r="BM1498" s="109" t="s">
        <v>292</v>
      </c>
      <c r="BN1498" s="109">
        <v>42</v>
      </c>
      <c r="BO1498" s="109">
        <v>46.8</v>
      </c>
      <c r="BQ1498" s="109">
        <v>134</v>
      </c>
      <c r="BR1498" s="109">
        <v>79</v>
      </c>
      <c r="BT1498" s="109">
        <v>6.4</v>
      </c>
      <c r="BU1498" s="109">
        <v>6.8</v>
      </c>
      <c r="CF1498" s="109">
        <v>809</v>
      </c>
      <c r="CG1498" s="109">
        <v>851</v>
      </c>
      <c r="CH1498" s="109" t="s">
        <v>1271</v>
      </c>
      <c r="DG1498" s="109">
        <v>27</v>
      </c>
      <c r="DH1498" s="109">
        <v>26</v>
      </c>
      <c r="DI1498" s="109" t="s">
        <v>212</v>
      </c>
      <c r="DV1498" s="109">
        <v>1600</v>
      </c>
      <c r="DW1498" s="109">
        <v>1840</v>
      </c>
      <c r="DX1498" s="109" t="s">
        <v>539</v>
      </c>
      <c r="DY1498" s="109">
        <v>21.4</v>
      </c>
      <c r="DZ1498" s="109">
        <v>29.8</v>
      </c>
      <c r="EQ1498" s="109">
        <f t="shared" si="275"/>
        <v>2.0279999999999999E-3</v>
      </c>
      <c r="ER1498" s="109">
        <f>134*0.000012</f>
        <v>1.6080000000000001E-3</v>
      </c>
      <c r="ES1498" s="109" t="s">
        <v>1270</v>
      </c>
      <c r="EY1498" s="31">
        <v>99999</v>
      </c>
      <c r="EZ1498" s="31"/>
      <c r="FA1498" s="31" t="s">
        <v>542</v>
      </c>
      <c r="FC1498" s="109">
        <v>68</v>
      </c>
    </row>
    <row r="1499" spans="1:159" s="109" customFormat="1" x14ac:dyDescent="0.25">
      <c r="A1499" s="109">
        <v>68</v>
      </c>
      <c r="B1499" s="109" t="s">
        <v>1240</v>
      </c>
      <c r="C1499" s="109" t="s">
        <v>1241</v>
      </c>
      <c r="D1499" s="109">
        <v>2011</v>
      </c>
      <c r="E1499" s="109">
        <v>2000</v>
      </c>
      <c r="F1499" s="109" t="s">
        <v>363</v>
      </c>
      <c r="G1499" s="109" t="s">
        <v>1244</v>
      </c>
      <c r="H1499" s="109">
        <f t="shared" si="271"/>
        <v>43.3</v>
      </c>
      <c r="I1499" s="109">
        <f t="shared" si="272"/>
        <v>-89.35</v>
      </c>
      <c r="J1499" s="109">
        <v>317.10000000000002</v>
      </c>
      <c r="P1499" s="110" t="s">
        <v>1242</v>
      </c>
      <c r="Q1499" s="110" t="s">
        <v>1057</v>
      </c>
      <c r="R1499" s="110" t="s">
        <v>1243</v>
      </c>
      <c r="S1499" s="110" t="s">
        <v>1679</v>
      </c>
      <c r="T1499" s="56" t="s">
        <v>1644</v>
      </c>
      <c r="X1499" s="109" t="s">
        <v>168</v>
      </c>
      <c r="AB1499" s="31" t="s">
        <v>1580</v>
      </c>
      <c r="AC1499" s="109" t="s">
        <v>148</v>
      </c>
      <c r="AD1499" s="153" t="str">
        <f t="shared" si="270"/>
        <v>Legume</v>
      </c>
      <c r="AE1499" s="109" t="s">
        <v>167</v>
      </c>
      <c r="AG1499" s="109" t="s">
        <v>167</v>
      </c>
      <c r="AH1499" s="109" t="s">
        <v>167</v>
      </c>
      <c r="AI1499" s="109" t="s">
        <v>230</v>
      </c>
      <c r="AJ1499" s="109" t="s">
        <v>590</v>
      </c>
      <c r="AK1499" s="109" t="s">
        <v>1252</v>
      </c>
      <c r="AL1499" s="109" t="s">
        <v>618</v>
      </c>
      <c r="AM1499" s="109" t="s">
        <v>1253</v>
      </c>
      <c r="AN1499" s="109" t="s">
        <v>1258</v>
      </c>
      <c r="AO1499" s="109" t="s">
        <v>618</v>
      </c>
      <c r="AP1499" s="109" t="s">
        <v>208</v>
      </c>
      <c r="AQ1499" s="109">
        <v>4</v>
      </c>
      <c r="AR1499" s="109">
        <v>4</v>
      </c>
      <c r="AS1499" s="109" t="s">
        <v>177</v>
      </c>
      <c r="AX1499" s="109" t="s">
        <v>1249</v>
      </c>
      <c r="BE1499" s="109">
        <v>1.41</v>
      </c>
      <c r="BF1499" s="109">
        <v>1.41</v>
      </c>
      <c r="BH1499" s="109">
        <v>2.1800000000000002</v>
      </c>
      <c r="BI1499" s="109">
        <v>2.4</v>
      </c>
      <c r="BJ1499" s="109" t="s">
        <v>750</v>
      </c>
      <c r="BK1499" s="109">
        <v>2100</v>
      </c>
      <c r="BL1499" s="109">
        <v>2300</v>
      </c>
      <c r="BM1499" s="109" t="s">
        <v>292</v>
      </c>
      <c r="BN1499" s="109">
        <v>42</v>
      </c>
      <c r="BO1499" s="109">
        <v>50.5</v>
      </c>
      <c r="BQ1499" s="109">
        <v>134</v>
      </c>
      <c r="BR1499" s="109">
        <v>75</v>
      </c>
      <c r="BT1499" s="109">
        <v>6.4</v>
      </c>
      <c r="BU1499" s="109">
        <v>6.7</v>
      </c>
      <c r="CF1499" s="109">
        <v>809</v>
      </c>
      <c r="CG1499" s="109">
        <v>882</v>
      </c>
      <c r="CH1499" s="109" t="s">
        <v>1271</v>
      </c>
      <c r="DG1499" s="109">
        <v>27</v>
      </c>
      <c r="DH1499" s="109">
        <v>26</v>
      </c>
      <c r="DI1499" s="109" t="s">
        <v>212</v>
      </c>
      <c r="DV1499" s="109">
        <v>1600</v>
      </c>
      <c r="DW1499" s="109">
        <v>1820</v>
      </c>
      <c r="DX1499" s="109" t="s">
        <v>539</v>
      </c>
      <c r="DY1499" s="109">
        <v>21.4</v>
      </c>
      <c r="DZ1499" s="109">
        <v>30.9</v>
      </c>
      <c r="EQ1499" s="109">
        <f t="shared" si="275"/>
        <v>2.0279999999999999E-3</v>
      </c>
      <c r="ER1499" s="109">
        <f>95*0.000012</f>
        <v>1.14E-3</v>
      </c>
      <c r="ES1499" s="109" t="s">
        <v>1270</v>
      </c>
      <c r="EY1499" s="31">
        <v>99999</v>
      </c>
      <c r="EZ1499" s="31"/>
      <c r="FA1499" s="31" t="s">
        <v>542</v>
      </c>
      <c r="FC1499" s="109">
        <v>68</v>
      </c>
    </row>
    <row r="1500" spans="1:159" s="109" customFormat="1" x14ac:dyDescent="0.25">
      <c r="A1500" s="109">
        <v>68</v>
      </c>
      <c r="B1500" s="109" t="s">
        <v>1240</v>
      </c>
      <c r="C1500" s="109" t="s">
        <v>1241</v>
      </c>
      <c r="D1500" s="109">
        <v>2011</v>
      </c>
      <c r="E1500" s="109">
        <v>2000</v>
      </c>
      <c r="F1500" s="109" t="s">
        <v>363</v>
      </c>
      <c r="G1500" s="109" t="s">
        <v>1244</v>
      </c>
      <c r="H1500" s="109">
        <f t="shared" si="271"/>
        <v>43.3</v>
      </c>
      <c r="I1500" s="109">
        <f t="shared" si="272"/>
        <v>-89.35</v>
      </c>
      <c r="J1500" s="109">
        <v>317.10000000000002</v>
      </c>
      <c r="P1500" s="110" t="s">
        <v>1242</v>
      </c>
      <c r="Q1500" s="110" t="s">
        <v>1057</v>
      </c>
      <c r="R1500" s="110" t="s">
        <v>1243</v>
      </c>
      <c r="S1500" s="110" t="s">
        <v>1679</v>
      </c>
      <c r="T1500" s="56" t="s">
        <v>1644</v>
      </c>
      <c r="X1500" s="109" t="s">
        <v>168</v>
      </c>
      <c r="AB1500" s="31" t="s">
        <v>1580</v>
      </c>
      <c r="AC1500" s="109" t="s">
        <v>769</v>
      </c>
      <c r="AD1500" s="153" t="str">
        <f t="shared" si="270"/>
        <v>Mixed</v>
      </c>
      <c r="AE1500" s="109" t="s">
        <v>167</v>
      </c>
      <c r="AG1500" s="109" t="s">
        <v>167</v>
      </c>
      <c r="AH1500" s="109" t="s">
        <v>1251</v>
      </c>
      <c r="AI1500" s="109" t="s">
        <v>618</v>
      </c>
      <c r="AJ1500" s="109" t="s">
        <v>590</v>
      </c>
      <c r="AK1500" s="109" t="s">
        <v>1252</v>
      </c>
      <c r="AL1500" s="109" t="s">
        <v>618</v>
      </c>
      <c r="AM1500" s="109" t="s">
        <v>1253</v>
      </c>
      <c r="AN1500" s="109" t="s">
        <v>1259</v>
      </c>
      <c r="AO1500" s="109" t="s">
        <v>618</v>
      </c>
      <c r="AP1500" s="109" t="s">
        <v>208</v>
      </c>
      <c r="AQ1500" s="109">
        <v>4</v>
      </c>
      <c r="AR1500" s="109">
        <v>4</v>
      </c>
      <c r="AS1500" s="109" t="s">
        <v>177</v>
      </c>
      <c r="AX1500" s="109" t="s">
        <v>1250</v>
      </c>
      <c r="BE1500" s="109">
        <v>1.41</v>
      </c>
      <c r="BF1500" s="109">
        <v>1.42</v>
      </c>
      <c r="BH1500" s="109">
        <v>2.1800000000000002</v>
      </c>
      <c r="BI1500" s="109">
        <v>2.2400000000000002</v>
      </c>
      <c r="BJ1500" s="109" t="s">
        <v>750</v>
      </c>
      <c r="BK1500" s="109">
        <v>2100</v>
      </c>
      <c r="BL1500" s="109">
        <v>2100</v>
      </c>
      <c r="BM1500" s="109" t="s">
        <v>292</v>
      </c>
      <c r="BN1500" s="109">
        <v>42</v>
      </c>
      <c r="BO1500" s="109">
        <v>36</v>
      </c>
      <c r="BQ1500" s="109">
        <v>134</v>
      </c>
      <c r="BR1500" s="109">
        <v>75</v>
      </c>
      <c r="BT1500" s="109">
        <v>6.4</v>
      </c>
      <c r="BU1500" s="109">
        <v>6.5</v>
      </c>
      <c r="CF1500" s="109">
        <v>809</v>
      </c>
      <c r="CG1500" s="109">
        <v>873</v>
      </c>
      <c r="CH1500" s="109" t="s">
        <v>1271</v>
      </c>
      <c r="DG1500" s="109">
        <v>27</v>
      </c>
      <c r="DH1500" s="109">
        <v>23</v>
      </c>
      <c r="DI1500" s="109" t="s">
        <v>212</v>
      </c>
      <c r="DV1500" s="109">
        <v>1600</v>
      </c>
      <c r="DW1500" s="109">
        <v>1380</v>
      </c>
      <c r="DX1500" s="109" t="s">
        <v>539</v>
      </c>
      <c r="DY1500" s="109">
        <v>21.4</v>
      </c>
      <c r="DZ1500" s="109">
        <v>24.4</v>
      </c>
      <c r="EQ1500" s="109">
        <f t="shared" si="275"/>
        <v>2.0279999999999999E-3</v>
      </c>
      <c r="ER1500" s="109">
        <f>193*0.000012</f>
        <v>2.3159999999999999E-3</v>
      </c>
      <c r="ES1500" s="109" t="s">
        <v>1270</v>
      </c>
      <c r="EY1500" s="31">
        <v>99999</v>
      </c>
      <c r="EZ1500" s="31"/>
      <c r="FA1500" s="31" t="s">
        <v>542</v>
      </c>
      <c r="FC1500" s="109">
        <v>68</v>
      </c>
    </row>
    <row r="1501" spans="1:159" s="111" customFormat="1" x14ac:dyDescent="0.25">
      <c r="A1501" s="111">
        <v>68</v>
      </c>
      <c r="B1501" s="111" t="s">
        <v>1240</v>
      </c>
      <c r="C1501" s="111" t="s">
        <v>1241</v>
      </c>
      <c r="D1501" s="111">
        <v>2011</v>
      </c>
      <c r="E1501" s="111">
        <v>2000</v>
      </c>
      <c r="F1501" s="111" t="s">
        <v>363</v>
      </c>
      <c r="G1501" s="111" t="s">
        <v>1244</v>
      </c>
      <c r="H1501" s="111">
        <f t="shared" si="271"/>
        <v>43.3</v>
      </c>
      <c r="I1501" s="111">
        <f t="shared" si="272"/>
        <v>-89.35</v>
      </c>
      <c r="J1501" s="111">
        <v>317.10000000000002</v>
      </c>
      <c r="P1501" s="112" t="s">
        <v>1242</v>
      </c>
      <c r="Q1501" s="112" t="s">
        <v>1057</v>
      </c>
      <c r="R1501" s="112" t="s">
        <v>1243</v>
      </c>
      <c r="S1501" s="112" t="s">
        <v>1679</v>
      </c>
      <c r="T1501" s="57" t="s">
        <v>1644</v>
      </c>
      <c r="X1501" s="111" t="s">
        <v>168</v>
      </c>
      <c r="AB1501" s="38" t="s">
        <v>1580</v>
      </c>
      <c r="AC1501" s="111" t="s">
        <v>1811</v>
      </c>
      <c r="AD1501" s="153" t="str">
        <f t="shared" si="270"/>
        <v>Winter_wheat</v>
      </c>
      <c r="AE1501" s="111" t="s">
        <v>824</v>
      </c>
      <c r="AG1501" s="111" t="s">
        <v>824</v>
      </c>
      <c r="AH1501" s="111" t="s">
        <v>1146</v>
      </c>
      <c r="AI1501" s="111" t="s">
        <v>230</v>
      </c>
      <c r="AJ1501" s="111" t="s">
        <v>1269</v>
      </c>
      <c r="AK1501" s="111" t="s">
        <v>1252</v>
      </c>
      <c r="AL1501" s="111" t="s">
        <v>618</v>
      </c>
      <c r="AM1501" s="111" t="s">
        <v>1268</v>
      </c>
      <c r="AN1501" s="111" t="s">
        <v>1254</v>
      </c>
      <c r="AO1501" s="111" t="s">
        <v>618</v>
      </c>
      <c r="AP1501" s="111" t="s">
        <v>208</v>
      </c>
      <c r="AQ1501" s="111">
        <v>4</v>
      </c>
      <c r="AR1501" s="111">
        <v>4</v>
      </c>
      <c r="AS1501" s="111" t="s">
        <v>177</v>
      </c>
      <c r="AX1501" s="111" t="s">
        <v>1262</v>
      </c>
      <c r="BE1501" s="111">
        <v>1.38</v>
      </c>
      <c r="BF1501" s="111">
        <v>1.47</v>
      </c>
      <c r="BH1501" s="111">
        <v>1.95</v>
      </c>
      <c r="BI1501" s="111">
        <v>2.08</v>
      </c>
      <c r="BJ1501" s="111" t="s">
        <v>750</v>
      </c>
      <c r="BK1501" s="111">
        <v>1900</v>
      </c>
      <c r="BL1501" s="111">
        <v>2100</v>
      </c>
      <c r="BM1501" s="111" t="s">
        <v>292</v>
      </c>
      <c r="BN1501" s="111">
        <v>33</v>
      </c>
      <c r="BO1501" s="111">
        <v>31.8</v>
      </c>
      <c r="BQ1501" s="111">
        <v>97</v>
      </c>
      <c r="BR1501" s="111">
        <v>89</v>
      </c>
      <c r="BT1501" s="111">
        <v>6.5</v>
      </c>
      <c r="BU1501" s="111">
        <v>6.6</v>
      </c>
      <c r="CF1501" s="111">
        <v>887</v>
      </c>
      <c r="CG1501" s="111">
        <v>861</v>
      </c>
      <c r="CH1501" s="111" t="s">
        <v>1271</v>
      </c>
      <c r="DG1501" s="111">
        <v>26</v>
      </c>
      <c r="DH1501" s="111">
        <v>26</v>
      </c>
      <c r="DI1501" s="111" t="s">
        <v>212</v>
      </c>
      <c r="DV1501" s="111">
        <v>1380</v>
      </c>
      <c r="DW1501" s="111">
        <v>1670</v>
      </c>
      <c r="DX1501" s="111" t="s">
        <v>539</v>
      </c>
      <c r="DY1501" s="111">
        <v>17.100000000000001</v>
      </c>
      <c r="DZ1501" s="111">
        <v>22.3</v>
      </c>
      <c r="EQ1501" s="111">
        <f>109*0.000012</f>
        <v>1.3080000000000001E-3</v>
      </c>
      <c r="ER1501" s="111">
        <v>1.8E-3</v>
      </c>
      <c r="ES1501" s="111" t="s">
        <v>1261</v>
      </c>
      <c r="EY1501" s="31">
        <v>99999</v>
      </c>
      <c r="EZ1501" s="31"/>
      <c r="FA1501" s="38" t="s">
        <v>542</v>
      </c>
      <c r="FC1501" s="111">
        <v>68</v>
      </c>
    </row>
    <row r="1502" spans="1:159" s="111" customFormat="1" x14ac:dyDescent="0.25">
      <c r="A1502" s="111">
        <v>68</v>
      </c>
      <c r="B1502" s="111" t="s">
        <v>1240</v>
      </c>
      <c r="C1502" s="111" t="s">
        <v>1241</v>
      </c>
      <c r="D1502" s="111">
        <v>2011</v>
      </c>
      <c r="E1502" s="111">
        <v>2000</v>
      </c>
      <c r="F1502" s="111" t="s">
        <v>363</v>
      </c>
      <c r="G1502" s="111" t="s">
        <v>1244</v>
      </c>
      <c r="H1502" s="111">
        <f t="shared" si="271"/>
        <v>43.3</v>
      </c>
      <c r="I1502" s="111">
        <f t="shared" si="272"/>
        <v>-89.35</v>
      </c>
      <c r="J1502" s="111">
        <v>317.10000000000002</v>
      </c>
      <c r="P1502" s="112" t="s">
        <v>1242</v>
      </c>
      <c r="Q1502" s="112" t="s">
        <v>1057</v>
      </c>
      <c r="R1502" s="112" t="s">
        <v>1243</v>
      </c>
      <c r="S1502" s="112" t="s">
        <v>1679</v>
      </c>
      <c r="T1502" s="57" t="s">
        <v>1644</v>
      </c>
      <c r="X1502" s="111" t="s">
        <v>168</v>
      </c>
      <c r="AB1502" s="38" t="s">
        <v>1580</v>
      </c>
      <c r="AC1502" s="111" t="s">
        <v>148</v>
      </c>
      <c r="AD1502" s="153" t="str">
        <f t="shared" si="270"/>
        <v>Legume</v>
      </c>
      <c r="AE1502" s="111" t="s">
        <v>824</v>
      </c>
      <c r="AG1502" s="111" t="s">
        <v>824</v>
      </c>
      <c r="AH1502" s="111" t="s">
        <v>167</v>
      </c>
      <c r="AI1502" s="111" t="s">
        <v>618</v>
      </c>
      <c r="AJ1502" s="111" t="s">
        <v>1269</v>
      </c>
      <c r="AK1502" s="111" t="s">
        <v>1252</v>
      </c>
      <c r="AL1502" s="111" t="s">
        <v>618</v>
      </c>
      <c r="AM1502" s="111" t="s">
        <v>1268</v>
      </c>
      <c r="AN1502" s="111" t="s">
        <v>1255</v>
      </c>
      <c r="AO1502" s="111" t="s">
        <v>618</v>
      </c>
      <c r="AP1502" s="111" t="s">
        <v>208</v>
      </c>
      <c r="AQ1502" s="111">
        <v>4</v>
      </c>
      <c r="AR1502" s="111">
        <v>4</v>
      </c>
      <c r="AS1502" s="111" t="s">
        <v>177</v>
      </c>
      <c r="AX1502" s="111" t="s">
        <v>1263</v>
      </c>
      <c r="BE1502" s="111">
        <v>1.38</v>
      </c>
      <c r="BF1502" s="111">
        <v>1.48</v>
      </c>
      <c r="BH1502" s="111">
        <v>1.95</v>
      </c>
      <c r="BI1502" s="111">
        <v>2.11</v>
      </c>
      <c r="BJ1502" s="111" t="s">
        <v>750</v>
      </c>
      <c r="BK1502" s="111">
        <v>1900</v>
      </c>
      <c r="BL1502" s="111">
        <v>2100</v>
      </c>
      <c r="BM1502" s="111" t="s">
        <v>292</v>
      </c>
      <c r="BN1502" s="111">
        <v>33</v>
      </c>
      <c r="BO1502" s="111">
        <v>40.799999999999997</v>
      </c>
      <c r="BQ1502" s="111">
        <v>97</v>
      </c>
      <c r="BR1502" s="111">
        <v>72</v>
      </c>
      <c r="BT1502" s="111">
        <v>6.5</v>
      </c>
      <c r="BU1502" s="111">
        <v>6.8</v>
      </c>
      <c r="CF1502" s="111">
        <v>887</v>
      </c>
      <c r="CG1502" s="111">
        <v>857</v>
      </c>
      <c r="CH1502" s="111" t="s">
        <v>1271</v>
      </c>
      <c r="DG1502" s="111">
        <v>26</v>
      </c>
      <c r="DH1502" s="111">
        <v>26</v>
      </c>
      <c r="DI1502" s="111" t="s">
        <v>212</v>
      </c>
      <c r="DV1502" s="111">
        <v>1380</v>
      </c>
      <c r="DW1502" s="111">
        <v>1610</v>
      </c>
      <c r="DX1502" s="111" t="s">
        <v>539</v>
      </c>
      <c r="DY1502" s="111">
        <v>17.100000000000001</v>
      </c>
      <c r="DZ1502" s="111">
        <v>23.3</v>
      </c>
      <c r="EQ1502" s="111">
        <f t="shared" ref="EQ1502:EQ1506" si="276">109*0.000012</f>
        <v>1.3080000000000001E-3</v>
      </c>
      <c r="ER1502" s="111">
        <v>1.7279999999999999E-3</v>
      </c>
      <c r="ES1502" s="111" t="s">
        <v>1261</v>
      </c>
      <c r="EY1502" s="31">
        <v>99999</v>
      </c>
      <c r="EZ1502" s="31"/>
      <c r="FA1502" s="38" t="s">
        <v>542</v>
      </c>
      <c r="FC1502" s="111">
        <v>68</v>
      </c>
    </row>
    <row r="1503" spans="1:159" s="111" customFormat="1" x14ac:dyDescent="0.25">
      <c r="A1503" s="111">
        <v>68</v>
      </c>
      <c r="B1503" s="111" t="s">
        <v>1240</v>
      </c>
      <c r="C1503" s="111" t="s">
        <v>1241</v>
      </c>
      <c r="D1503" s="111">
        <v>2011</v>
      </c>
      <c r="E1503" s="111">
        <v>2000</v>
      </c>
      <c r="F1503" s="111" t="s">
        <v>363</v>
      </c>
      <c r="G1503" s="111" t="s">
        <v>1244</v>
      </c>
      <c r="H1503" s="111">
        <f t="shared" si="271"/>
        <v>43.3</v>
      </c>
      <c r="I1503" s="111">
        <f t="shared" si="272"/>
        <v>-89.35</v>
      </c>
      <c r="J1503" s="111">
        <v>317.10000000000002</v>
      </c>
      <c r="P1503" s="112" t="s">
        <v>1242</v>
      </c>
      <c r="Q1503" s="112" t="s">
        <v>1057</v>
      </c>
      <c r="R1503" s="112" t="s">
        <v>1243</v>
      </c>
      <c r="S1503" s="112" t="s">
        <v>1679</v>
      </c>
      <c r="T1503" s="57" t="s">
        <v>1644</v>
      </c>
      <c r="X1503" s="111" t="s">
        <v>168</v>
      </c>
      <c r="AB1503" s="38" t="s">
        <v>1580</v>
      </c>
      <c r="AC1503" s="111" t="s">
        <v>148</v>
      </c>
      <c r="AD1503" s="153" t="str">
        <f t="shared" si="270"/>
        <v>Legume</v>
      </c>
      <c r="AE1503" s="111" t="s">
        <v>824</v>
      </c>
      <c r="AG1503" s="111" t="s">
        <v>824</v>
      </c>
      <c r="AH1503" s="111" t="s">
        <v>167</v>
      </c>
      <c r="AI1503" s="111" t="s">
        <v>618</v>
      </c>
      <c r="AJ1503" s="111" t="s">
        <v>1269</v>
      </c>
      <c r="AK1503" s="111" t="s">
        <v>1252</v>
      </c>
      <c r="AL1503" s="111" t="s">
        <v>618</v>
      </c>
      <c r="AM1503" s="111" t="s">
        <v>1268</v>
      </c>
      <c r="AN1503" s="111" t="s">
        <v>1256</v>
      </c>
      <c r="AO1503" s="111" t="s">
        <v>618</v>
      </c>
      <c r="AP1503" s="111" t="s">
        <v>208</v>
      </c>
      <c r="AQ1503" s="111">
        <v>4</v>
      </c>
      <c r="AR1503" s="111">
        <v>4</v>
      </c>
      <c r="AS1503" s="111" t="s">
        <v>177</v>
      </c>
      <c r="AX1503" s="111" t="s">
        <v>1264</v>
      </c>
      <c r="BE1503" s="111">
        <v>1.38</v>
      </c>
      <c r="BF1503" s="111">
        <v>1.37</v>
      </c>
      <c r="BH1503" s="111">
        <v>1.95</v>
      </c>
      <c r="BI1503" s="111">
        <v>2.2000000000000002</v>
      </c>
      <c r="BJ1503" s="111" t="s">
        <v>750</v>
      </c>
      <c r="BK1503" s="111">
        <v>1900</v>
      </c>
      <c r="BL1503" s="111">
        <v>2200</v>
      </c>
      <c r="BM1503" s="111" t="s">
        <v>292</v>
      </c>
      <c r="BN1503" s="111">
        <v>33</v>
      </c>
      <c r="BO1503" s="111">
        <v>50</v>
      </c>
      <c r="BQ1503" s="111">
        <v>97</v>
      </c>
      <c r="BR1503" s="111">
        <v>83</v>
      </c>
      <c r="BT1503" s="111">
        <v>6.5</v>
      </c>
      <c r="BU1503" s="111">
        <v>6.6</v>
      </c>
      <c r="CF1503" s="111">
        <v>887</v>
      </c>
      <c r="CG1503" s="111">
        <v>842</v>
      </c>
      <c r="CH1503" s="111" t="s">
        <v>1271</v>
      </c>
      <c r="DG1503" s="111">
        <v>26</v>
      </c>
      <c r="DH1503" s="111">
        <v>25</v>
      </c>
      <c r="DI1503" s="111" t="s">
        <v>212</v>
      </c>
      <c r="DV1503" s="111">
        <v>1380</v>
      </c>
      <c r="DW1503" s="111">
        <v>1540</v>
      </c>
      <c r="DX1503" s="111" t="s">
        <v>539</v>
      </c>
      <c r="DY1503" s="111">
        <v>17.100000000000001</v>
      </c>
      <c r="DZ1503" s="111">
        <v>25.9</v>
      </c>
      <c r="EQ1503" s="111">
        <f t="shared" si="276"/>
        <v>1.3080000000000001E-3</v>
      </c>
      <c r="ER1503" s="111">
        <v>1.3680000000000001E-3</v>
      </c>
      <c r="ES1503" s="111" t="s">
        <v>1270</v>
      </c>
      <c r="EY1503" s="31">
        <v>99999</v>
      </c>
      <c r="EZ1503" s="31"/>
      <c r="FA1503" s="38" t="s">
        <v>542</v>
      </c>
      <c r="FC1503" s="111">
        <v>68</v>
      </c>
    </row>
    <row r="1504" spans="1:159" s="111" customFormat="1" x14ac:dyDescent="0.25">
      <c r="A1504" s="111">
        <v>68</v>
      </c>
      <c r="B1504" s="111" t="s">
        <v>1240</v>
      </c>
      <c r="C1504" s="111" t="s">
        <v>1241</v>
      </c>
      <c r="D1504" s="111">
        <v>2011</v>
      </c>
      <c r="E1504" s="111">
        <v>2000</v>
      </c>
      <c r="F1504" s="111" t="s">
        <v>363</v>
      </c>
      <c r="G1504" s="111" t="s">
        <v>1244</v>
      </c>
      <c r="H1504" s="111">
        <f t="shared" si="271"/>
        <v>43.3</v>
      </c>
      <c r="I1504" s="111">
        <f t="shared" si="272"/>
        <v>-89.35</v>
      </c>
      <c r="J1504" s="111">
        <v>317.10000000000002</v>
      </c>
      <c r="P1504" s="112" t="s">
        <v>1242</v>
      </c>
      <c r="Q1504" s="112" t="s">
        <v>1057</v>
      </c>
      <c r="R1504" s="112" t="s">
        <v>1243</v>
      </c>
      <c r="S1504" s="112" t="s">
        <v>1679</v>
      </c>
      <c r="T1504" s="57" t="s">
        <v>1644</v>
      </c>
      <c r="X1504" s="111" t="s">
        <v>168</v>
      </c>
      <c r="AB1504" s="38" t="s">
        <v>1580</v>
      </c>
      <c r="AC1504" s="111" t="s">
        <v>148</v>
      </c>
      <c r="AD1504" s="153" t="str">
        <f t="shared" si="270"/>
        <v>Legume</v>
      </c>
      <c r="AE1504" s="111" t="s">
        <v>824</v>
      </c>
      <c r="AG1504" s="111" t="s">
        <v>824</v>
      </c>
      <c r="AH1504" s="111" t="s">
        <v>167</v>
      </c>
      <c r="AI1504" s="111" t="s">
        <v>618</v>
      </c>
      <c r="AJ1504" s="111" t="s">
        <v>1269</v>
      </c>
      <c r="AK1504" s="111" t="s">
        <v>1252</v>
      </c>
      <c r="AL1504" s="111" t="s">
        <v>618</v>
      </c>
      <c r="AM1504" s="111" t="s">
        <v>1268</v>
      </c>
      <c r="AN1504" s="111" t="s">
        <v>1257</v>
      </c>
      <c r="AO1504" s="111" t="s">
        <v>618</v>
      </c>
      <c r="AP1504" s="111" t="s">
        <v>208</v>
      </c>
      <c r="AQ1504" s="111">
        <v>4</v>
      </c>
      <c r="AR1504" s="111">
        <v>4</v>
      </c>
      <c r="AS1504" s="111" t="s">
        <v>177</v>
      </c>
      <c r="AX1504" s="111" t="s">
        <v>1265</v>
      </c>
      <c r="BE1504" s="111">
        <v>1.38</v>
      </c>
      <c r="BF1504" s="111">
        <v>1.37</v>
      </c>
      <c r="BH1504" s="111">
        <v>1.95</v>
      </c>
      <c r="BI1504" s="111">
        <v>2.2999999999999998</v>
      </c>
      <c r="BJ1504" s="111" t="s">
        <v>750</v>
      </c>
      <c r="BK1504" s="111">
        <v>1900</v>
      </c>
      <c r="BL1504" s="111">
        <v>2300</v>
      </c>
      <c r="BM1504" s="111" t="s">
        <v>292</v>
      </c>
      <c r="BN1504" s="111">
        <v>33</v>
      </c>
      <c r="BO1504" s="111">
        <v>46.8</v>
      </c>
      <c r="BQ1504" s="111">
        <v>97</v>
      </c>
      <c r="BR1504" s="111">
        <v>79</v>
      </c>
      <c r="BT1504" s="111">
        <v>6.5</v>
      </c>
      <c r="BU1504" s="111">
        <v>6.8</v>
      </c>
      <c r="CF1504" s="111">
        <v>887</v>
      </c>
      <c r="CG1504" s="111">
        <v>851</v>
      </c>
      <c r="CH1504" s="111" t="s">
        <v>1271</v>
      </c>
      <c r="DG1504" s="111">
        <v>26</v>
      </c>
      <c r="DH1504" s="111">
        <v>26</v>
      </c>
      <c r="DI1504" s="111" t="s">
        <v>212</v>
      </c>
      <c r="DV1504" s="111">
        <v>1380</v>
      </c>
      <c r="DW1504" s="111">
        <v>1840</v>
      </c>
      <c r="DX1504" s="111" t="s">
        <v>539</v>
      </c>
      <c r="DY1504" s="111">
        <v>17.100000000000001</v>
      </c>
      <c r="DZ1504" s="111">
        <v>29.8</v>
      </c>
      <c r="EQ1504" s="111">
        <f t="shared" si="276"/>
        <v>1.3080000000000001E-3</v>
      </c>
      <c r="ER1504" s="111">
        <v>1.6080000000000001E-3</v>
      </c>
      <c r="ES1504" s="111" t="s">
        <v>1270</v>
      </c>
      <c r="EY1504" s="31">
        <v>99999</v>
      </c>
      <c r="EZ1504" s="31"/>
      <c r="FA1504" s="38" t="s">
        <v>542</v>
      </c>
      <c r="FC1504" s="111">
        <v>68</v>
      </c>
    </row>
    <row r="1505" spans="1:159" s="111" customFormat="1" x14ac:dyDescent="0.25">
      <c r="A1505" s="111">
        <v>68</v>
      </c>
      <c r="B1505" s="111" t="s">
        <v>1240</v>
      </c>
      <c r="C1505" s="111" t="s">
        <v>1241</v>
      </c>
      <c r="D1505" s="111">
        <v>2011</v>
      </c>
      <c r="E1505" s="111">
        <v>2000</v>
      </c>
      <c r="F1505" s="111" t="s">
        <v>363</v>
      </c>
      <c r="G1505" s="111" t="s">
        <v>1244</v>
      </c>
      <c r="H1505" s="111">
        <f t="shared" si="271"/>
        <v>43.3</v>
      </c>
      <c r="I1505" s="111">
        <f t="shared" si="272"/>
        <v>-89.35</v>
      </c>
      <c r="J1505" s="111">
        <v>317.10000000000002</v>
      </c>
      <c r="P1505" s="112" t="s">
        <v>1242</v>
      </c>
      <c r="Q1505" s="112" t="s">
        <v>1057</v>
      </c>
      <c r="R1505" s="112" t="s">
        <v>1243</v>
      </c>
      <c r="S1505" s="112" t="s">
        <v>1679</v>
      </c>
      <c r="T1505" s="57" t="s">
        <v>1644</v>
      </c>
      <c r="X1505" s="111" t="s">
        <v>168</v>
      </c>
      <c r="AB1505" s="38" t="s">
        <v>1580</v>
      </c>
      <c r="AC1505" s="111" t="s">
        <v>148</v>
      </c>
      <c r="AD1505" s="153" t="str">
        <f t="shared" si="270"/>
        <v>Legume</v>
      </c>
      <c r="AE1505" s="111" t="s">
        <v>824</v>
      </c>
      <c r="AG1505" s="111" t="s">
        <v>824</v>
      </c>
      <c r="AH1505" s="111" t="s">
        <v>167</v>
      </c>
      <c r="AI1505" s="111" t="s">
        <v>618</v>
      </c>
      <c r="AJ1505" s="111" t="s">
        <v>1269</v>
      </c>
      <c r="AK1505" s="111" t="s">
        <v>1252</v>
      </c>
      <c r="AL1505" s="111" t="s">
        <v>618</v>
      </c>
      <c r="AM1505" s="111" t="s">
        <v>1268</v>
      </c>
      <c r="AN1505" s="111" t="s">
        <v>1258</v>
      </c>
      <c r="AO1505" s="111" t="s">
        <v>618</v>
      </c>
      <c r="AP1505" s="111" t="s">
        <v>208</v>
      </c>
      <c r="AQ1505" s="111">
        <v>4</v>
      </c>
      <c r="AR1505" s="111">
        <v>4</v>
      </c>
      <c r="AS1505" s="111" t="s">
        <v>177</v>
      </c>
      <c r="AX1505" s="111" t="s">
        <v>1266</v>
      </c>
      <c r="BE1505" s="111">
        <v>1.38</v>
      </c>
      <c r="BF1505" s="111">
        <v>1.41</v>
      </c>
      <c r="BH1505" s="111">
        <v>1.95</v>
      </c>
      <c r="BI1505" s="111">
        <v>2.4</v>
      </c>
      <c r="BJ1505" s="111" t="s">
        <v>750</v>
      </c>
      <c r="BK1505" s="111">
        <v>1900</v>
      </c>
      <c r="BL1505" s="111">
        <v>2300</v>
      </c>
      <c r="BM1505" s="111" t="s">
        <v>292</v>
      </c>
      <c r="BN1505" s="111">
        <v>33</v>
      </c>
      <c r="BO1505" s="111">
        <v>50.5</v>
      </c>
      <c r="BQ1505" s="111">
        <v>97</v>
      </c>
      <c r="BR1505" s="111">
        <v>75</v>
      </c>
      <c r="BT1505" s="111">
        <v>6.5</v>
      </c>
      <c r="BU1505" s="111">
        <v>6.7</v>
      </c>
      <c r="CF1505" s="111">
        <v>887</v>
      </c>
      <c r="CG1505" s="111">
        <v>882</v>
      </c>
      <c r="CH1505" s="111" t="s">
        <v>1271</v>
      </c>
      <c r="DG1505" s="111">
        <v>26</v>
      </c>
      <c r="DH1505" s="111">
        <v>26</v>
      </c>
      <c r="DI1505" s="111" t="s">
        <v>212</v>
      </c>
      <c r="DV1505" s="111">
        <v>1380</v>
      </c>
      <c r="DW1505" s="111">
        <v>1820</v>
      </c>
      <c r="DX1505" s="111" t="s">
        <v>539</v>
      </c>
      <c r="DY1505" s="111">
        <v>17.100000000000001</v>
      </c>
      <c r="DZ1505" s="111">
        <v>30.9</v>
      </c>
      <c r="EQ1505" s="111">
        <f t="shared" si="276"/>
        <v>1.3080000000000001E-3</v>
      </c>
      <c r="ER1505" s="111">
        <v>1.14E-3</v>
      </c>
      <c r="ES1505" s="111" t="s">
        <v>1270</v>
      </c>
      <c r="EY1505" s="31">
        <v>99999</v>
      </c>
      <c r="EZ1505" s="31"/>
      <c r="FA1505" s="38" t="s">
        <v>542</v>
      </c>
      <c r="FC1505" s="111">
        <v>68</v>
      </c>
    </row>
    <row r="1506" spans="1:159" s="111" customFormat="1" x14ac:dyDescent="0.25">
      <c r="A1506" s="111">
        <v>68</v>
      </c>
      <c r="B1506" s="111" t="s">
        <v>1240</v>
      </c>
      <c r="C1506" s="111" t="s">
        <v>1241</v>
      </c>
      <c r="D1506" s="111">
        <v>2011</v>
      </c>
      <c r="E1506" s="111">
        <v>2000</v>
      </c>
      <c r="F1506" s="111" t="s">
        <v>363</v>
      </c>
      <c r="G1506" s="111" t="s">
        <v>1244</v>
      </c>
      <c r="H1506" s="111">
        <f t="shared" si="271"/>
        <v>43.3</v>
      </c>
      <c r="I1506" s="111">
        <f t="shared" si="272"/>
        <v>-89.35</v>
      </c>
      <c r="J1506" s="111">
        <v>317.10000000000002</v>
      </c>
      <c r="P1506" s="112" t="s">
        <v>1242</v>
      </c>
      <c r="Q1506" s="112" t="s">
        <v>1057</v>
      </c>
      <c r="R1506" s="112" t="s">
        <v>1243</v>
      </c>
      <c r="S1506" s="112" t="s">
        <v>1679</v>
      </c>
      <c r="T1506" s="57" t="s">
        <v>1644</v>
      </c>
      <c r="X1506" s="111" t="s">
        <v>168</v>
      </c>
      <c r="AB1506" s="38" t="s">
        <v>1580</v>
      </c>
      <c r="AC1506" s="111" t="s">
        <v>769</v>
      </c>
      <c r="AD1506" s="153" t="str">
        <f t="shared" si="270"/>
        <v>Mixed</v>
      </c>
      <c r="AE1506" s="111" t="s">
        <v>824</v>
      </c>
      <c r="AG1506" s="111" t="s">
        <v>824</v>
      </c>
      <c r="AH1506" s="111" t="s">
        <v>1251</v>
      </c>
      <c r="AI1506" s="111" t="s">
        <v>618</v>
      </c>
      <c r="AJ1506" s="111" t="s">
        <v>1269</v>
      </c>
      <c r="AK1506" s="111" t="s">
        <v>1252</v>
      </c>
      <c r="AL1506" s="111" t="s">
        <v>618</v>
      </c>
      <c r="AM1506" s="111" t="s">
        <v>1268</v>
      </c>
      <c r="AN1506" s="111" t="s">
        <v>1259</v>
      </c>
      <c r="AO1506" s="111" t="s">
        <v>618</v>
      </c>
      <c r="AP1506" s="111" t="s">
        <v>208</v>
      </c>
      <c r="AQ1506" s="111">
        <v>4</v>
      </c>
      <c r="AR1506" s="111">
        <v>4</v>
      </c>
      <c r="AS1506" s="111" t="s">
        <v>177</v>
      </c>
      <c r="AX1506" s="111" t="s">
        <v>1267</v>
      </c>
      <c r="BE1506" s="111">
        <v>1.38</v>
      </c>
      <c r="BF1506" s="111">
        <v>1.42</v>
      </c>
      <c r="BH1506" s="111">
        <v>1.95</v>
      </c>
      <c r="BI1506" s="111">
        <v>2.2400000000000002</v>
      </c>
      <c r="BJ1506" s="111" t="s">
        <v>750</v>
      </c>
      <c r="BK1506" s="111">
        <v>1900</v>
      </c>
      <c r="BL1506" s="111">
        <v>2100</v>
      </c>
      <c r="BM1506" s="111" t="s">
        <v>292</v>
      </c>
      <c r="BN1506" s="111">
        <v>33</v>
      </c>
      <c r="BO1506" s="111">
        <v>36</v>
      </c>
      <c r="BQ1506" s="111">
        <v>97</v>
      </c>
      <c r="BR1506" s="111">
        <v>75</v>
      </c>
      <c r="BT1506" s="111">
        <v>6.5</v>
      </c>
      <c r="BU1506" s="111">
        <v>6.5</v>
      </c>
      <c r="CF1506" s="111">
        <v>887</v>
      </c>
      <c r="CG1506" s="111">
        <v>873</v>
      </c>
      <c r="CH1506" s="111" t="s">
        <v>1271</v>
      </c>
      <c r="DG1506" s="111">
        <v>26</v>
      </c>
      <c r="DH1506" s="111">
        <v>23</v>
      </c>
      <c r="DI1506" s="111" t="s">
        <v>212</v>
      </c>
      <c r="DV1506" s="111">
        <v>1380</v>
      </c>
      <c r="DW1506" s="111">
        <v>1380</v>
      </c>
      <c r="DX1506" s="111" t="s">
        <v>539</v>
      </c>
      <c r="DY1506" s="111">
        <v>17.100000000000001</v>
      </c>
      <c r="DZ1506" s="111">
        <v>24.4</v>
      </c>
      <c r="EQ1506" s="111">
        <f t="shared" si="276"/>
        <v>1.3080000000000001E-3</v>
      </c>
      <c r="ER1506" s="111">
        <v>2.3159999999999999E-3</v>
      </c>
      <c r="ES1506" s="111" t="s">
        <v>1270</v>
      </c>
      <c r="EY1506" s="31">
        <v>99999</v>
      </c>
      <c r="EZ1506" s="31"/>
      <c r="FA1506" s="38" t="s">
        <v>542</v>
      </c>
      <c r="FC1506" s="111">
        <v>68</v>
      </c>
    </row>
    <row r="1507" spans="1:159" s="26" customFormat="1" x14ac:dyDescent="0.25">
      <c r="A1507" s="26">
        <v>69</v>
      </c>
      <c r="B1507" s="26" t="s">
        <v>1272</v>
      </c>
      <c r="C1507" s="26" t="s">
        <v>1273</v>
      </c>
      <c r="D1507" s="26">
        <v>2000</v>
      </c>
      <c r="E1507" s="26">
        <v>1995</v>
      </c>
      <c r="F1507" s="26" t="s">
        <v>395</v>
      </c>
      <c r="G1507" s="26" t="s">
        <v>1274</v>
      </c>
      <c r="H1507" s="26">
        <v>41.15</v>
      </c>
      <c r="I1507" s="26">
        <v>-96.5</v>
      </c>
      <c r="J1507" s="26">
        <v>346.8</v>
      </c>
      <c r="P1507" s="52" t="s">
        <v>179</v>
      </c>
      <c r="Q1507" s="52"/>
      <c r="R1507" s="52"/>
      <c r="S1507" s="52" t="s">
        <v>1647</v>
      </c>
      <c r="T1507" s="52" t="s">
        <v>1647</v>
      </c>
      <c r="U1507" s="26">
        <v>1.28</v>
      </c>
      <c r="X1507" s="26" t="s">
        <v>1275</v>
      </c>
      <c r="Y1507" s="26">
        <v>6.3</v>
      </c>
      <c r="Z1507" s="26">
        <v>2.6</v>
      </c>
      <c r="AB1507" s="26" t="s">
        <v>1590</v>
      </c>
      <c r="AC1507" s="26" t="s">
        <v>1276</v>
      </c>
      <c r="AD1507" s="153" t="str">
        <f t="shared" si="270"/>
        <v>Barley</v>
      </c>
      <c r="AE1507" s="26" t="s">
        <v>205</v>
      </c>
      <c r="AP1507" s="26" t="s">
        <v>208</v>
      </c>
      <c r="AQ1507" s="26">
        <v>3</v>
      </c>
      <c r="AR1507" s="26">
        <v>3</v>
      </c>
      <c r="AS1507" s="26" t="s">
        <v>177</v>
      </c>
      <c r="AU1507" s="26">
        <v>3170</v>
      </c>
      <c r="AW1507" s="26" t="s">
        <v>1279</v>
      </c>
      <c r="AX1507" s="26" t="s">
        <v>1277</v>
      </c>
      <c r="BB1507" s="26">
        <v>2150</v>
      </c>
      <c r="BC1507" s="26">
        <v>2160</v>
      </c>
      <c r="DE1507" s="26">
        <v>29.66</v>
      </c>
      <c r="DF1507" s="26">
        <v>27</v>
      </c>
      <c r="DG1507" s="26">
        <f>27.05/1.28</f>
        <v>21.1328125</v>
      </c>
      <c r="DH1507" s="26">
        <f>25.62/1.28</f>
        <v>20.015625</v>
      </c>
      <c r="DI1507" s="26" t="s">
        <v>1298</v>
      </c>
      <c r="FA1507" s="26" t="s">
        <v>1282</v>
      </c>
      <c r="FC1507" s="26">
        <v>69</v>
      </c>
    </row>
    <row r="1508" spans="1:159" s="26" customFormat="1" x14ac:dyDescent="0.25">
      <c r="A1508" s="26">
        <v>69</v>
      </c>
      <c r="B1508" s="26" t="s">
        <v>1272</v>
      </c>
      <c r="C1508" s="26" t="s">
        <v>1273</v>
      </c>
      <c r="D1508" s="26">
        <v>2000</v>
      </c>
      <c r="E1508" s="26">
        <v>1995</v>
      </c>
      <c r="F1508" s="26" t="s">
        <v>395</v>
      </c>
      <c r="G1508" s="26" t="s">
        <v>1274</v>
      </c>
      <c r="H1508" s="26">
        <v>41.15</v>
      </c>
      <c r="I1508" s="26">
        <v>-96.5</v>
      </c>
      <c r="J1508" s="26">
        <v>346.8</v>
      </c>
      <c r="P1508" s="52" t="s">
        <v>179</v>
      </c>
      <c r="Q1508" s="52"/>
      <c r="R1508" s="52"/>
      <c r="S1508" s="52" t="s">
        <v>1647</v>
      </c>
      <c r="T1508" s="52" t="s">
        <v>1647</v>
      </c>
      <c r="U1508" s="26">
        <v>1.28</v>
      </c>
      <c r="X1508" s="26" t="s">
        <v>1275</v>
      </c>
      <c r="Y1508" s="26">
        <v>6.3</v>
      </c>
      <c r="Z1508" s="26">
        <v>2.6</v>
      </c>
      <c r="AB1508" s="26" t="s">
        <v>1590</v>
      </c>
      <c r="AC1508" s="26" t="s">
        <v>166</v>
      </c>
      <c r="AD1508" s="153" t="str">
        <f t="shared" si="270"/>
        <v>Rye</v>
      </c>
      <c r="AE1508" s="26" t="s">
        <v>205</v>
      </c>
      <c r="AP1508" s="26" t="s">
        <v>208</v>
      </c>
      <c r="AQ1508" s="26">
        <v>3</v>
      </c>
      <c r="AR1508" s="26">
        <v>3</v>
      </c>
      <c r="AS1508" s="26" t="s">
        <v>177</v>
      </c>
      <c r="AU1508" s="26">
        <v>6310</v>
      </c>
      <c r="AW1508" s="26" t="s">
        <v>1279</v>
      </c>
      <c r="AX1508" s="26" t="s">
        <v>1277</v>
      </c>
      <c r="BB1508" s="26">
        <v>2150</v>
      </c>
      <c r="BC1508" s="26">
        <v>1910</v>
      </c>
      <c r="DG1508" s="26">
        <f t="shared" ref="DG1508:DG1510" si="277">27.05/1.28</f>
        <v>21.1328125</v>
      </c>
      <c r="DH1508" s="26">
        <f>30.54/1.28</f>
        <v>23.859375</v>
      </c>
      <c r="DI1508" s="26" t="s">
        <v>1298</v>
      </c>
      <c r="FA1508" s="26" t="s">
        <v>1282</v>
      </c>
      <c r="FC1508" s="26">
        <v>69</v>
      </c>
    </row>
    <row r="1509" spans="1:159" s="26" customFormat="1" x14ac:dyDescent="0.25">
      <c r="A1509" s="26">
        <v>69</v>
      </c>
      <c r="B1509" s="26" t="s">
        <v>1272</v>
      </c>
      <c r="C1509" s="26" t="s">
        <v>1273</v>
      </c>
      <c r="D1509" s="26">
        <v>2000</v>
      </c>
      <c r="E1509" s="26">
        <v>1995</v>
      </c>
      <c r="F1509" s="26" t="s">
        <v>395</v>
      </c>
      <c r="G1509" s="26" t="s">
        <v>1274</v>
      </c>
      <c r="H1509" s="26">
        <v>41.15</v>
      </c>
      <c r="I1509" s="26">
        <v>-96.5</v>
      </c>
      <c r="J1509" s="26">
        <v>346.8</v>
      </c>
      <c r="P1509" s="52" t="s">
        <v>179</v>
      </c>
      <c r="Q1509" s="52"/>
      <c r="R1509" s="52"/>
      <c r="S1509" s="52" t="s">
        <v>1647</v>
      </c>
      <c r="T1509" s="52" t="s">
        <v>1647</v>
      </c>
      <c r="U1509" s="26">
        <v>1.28</v>
      </c>
      <c r="X1509" s="26" t="s">
        <v>1275</v>
      </c>
      <c r="Y1509" s="26">
        <v>6.3</v>
      </c>
      <c r="Z1509" s="26">
        <v>2.6</v>
      </c>
      <c r="AB1509" s="26" t="s">
        <v>1590</v>
      </c>
      <c r="AC1509" s="26" t="s">
        <v>940</v>
      </c>
      <c r="AD1509" s="153" t="str">
        <f t="shared" si="270"/>
        <v>Triticale</v>
      </c>
      <c r="AE1509" s="26" t="s">
        <v>205</v>
      </c>
      <c r="AP1509" s="26" t="s">
        <v>208</v>
      </c>
      <c r="AQ1509" s="26">
        <v>3</v>
      </c>
      <c r="AR1509" s="26">
        <v>3</v>
      </c>
      <c r="AS1509" s="26" t="s">
        <v>177</v>
      </c>
      <c r="AU1509" s="26">
        <v>7160</v>
      </c>
      <c r="AW1509" s="26" t="s">
        <v>1279</v>
      </c>
      <c r="AX1509" s="26" t="s">
        <v>1277</v>
      </c>
      <c r="BB1509" s="26">
        <v>2150</v>
      </c>
      <c r="BC1509" s="26">
        <v>2200</v>
      </c>
      <c r="DG1509" s="26">
        <f t="shared" si="277"/>
        <v>21.1328125</v>
      </c>
      <c r="DH1509" s="26">
        <f>28.9/1.28</f>
        <v>22.578125</v>
      </c>
      <c r="DI1509" s="26" t="s">
        <v>1298</v>
      </c>
      <c r="FA1509" s="26" t="s">
        <v>1282</v>
      </c>
      <c r="FC1509" s="26">
        <v>69</v>
      </c>
    </row>
    <row r="1510" spans="1:159" s="26" customFormat="1" x14ac:dyDescent="0.25">
      <c r="A1510" s="26">
        <v>69</v>
      </c>
      <c r="B1510" s="26" t="s">
        <v>1272</v>
      </c>
      <c r="C1510" s="26" t="s">
        <v>1273</v>
      </c>
      <c r="D1510" s="26">
        <v>2000</v>
      </c>
      <c r="E1510" s="26">
        <v>1995</v>
      </c>
      <c r="F1510" s="26" t="s">
        <v>395</v>
      </c>
      <c r="G1510" s="26" t="s">
        <v>1274</v>
      </c>
      <c r="H1510" s="26">
        <v>41.15</v>
      </c>
      <c r="I1510" s="26">
        <v>-96.5</v>
      </c>
      <c r="J1510" s="26">
        <v>346.8</v>
      </c>
      <c r="P1510" s="52" t="s">
        <v>179</v>
      </c>
      <c r="Q1510" s="52"/>
      <c r="R1510" s="52"/>
      <c r="S1510" s="52" t="s">
        <v>1647</v>
      </c>
      <c r="T1510" s="52" t="s">
        <v>1647</v>
      </c>
      <c r="U1510" s="26">
        <v>1.28</v>
      </c>
      <c r="X1510" s="26" t="s">
        <v>1275</v>
      </c>
      <c r="Y1510" s="26">
        <v>6.3</v>
      </c>
      <c r="Z1510" s="26">
        <v>2.6</v>
      </c>
      <c r="AB1510" s="26" t="s">
        <v>1590</v>
      </c>
      <c r="AC1510" s="26" t="s">
        <v>150</v>
      </c>
      <c r="AD1510" s="153" t="str">
        <f t="shared" si="270"/>
        <v>Wheat</v>
      </c>
      <c r="AE1510" s="26" t="s">
        <v>205</v>
      </c>
      <c r="AP1510" s="26" t="s">
        <v>208</v>
      </c>
      <c r="AQ1510" s="26">
        <v>3</v>
      </c>
      <c r="AR1510" s="26">
        <v>3</v>
      </c>
      <c r="AS1510" s="26" t="s">
        <v>177</v>
      </c>
      <c r="AU1510" s="26">
        <v>6710</v>
      </c>
      <c r="AW1510" s="26" t="s">
        <v>1279</v>
      </c>
      <c r="AX1510" s="26" t="s">
        <v>1277</v>
      </c>
      <c r="BB1510" s="26">
        <v>2150</v>
      </c>
      <c r="BC1510" s="26">
        <v>2330</v>
      </c>
      <c r="DG1510" s="26">
        <f t="shared" si="277"/>
        <v>21.1328125</v>
      </c>
      <c r="DH1510" s="26">
        <f>28.9/1.28</f>
        <v>22.578125</v>
      </c>
      <c r="DI1510" s="26" t="s">
        <v>1298</v>
      </c>
      <c r="FA1510" s="26" t="s">
        <v>1282</v>
      </c>
      <c r="FC1510" s="26">
        <v>69</v>
      </c>
    </row>
    <row r="1511" spans="1:159" s="26" customFormat="1" x14ac:dyDescent="0.25">
      <c r="A1511" s="26">
        <v>69</v>
      </c>
      <c r="B1511" s="26" t="s">
        <v>1272</v>
      </c>
      <c r="C1511" s="26" t="s">
        <v>1273</v>
      </c>
      <c r="D1511" s="26">
        <v>2000</v>
      </c>
      <c r="E1511" s="26">
        <v>1995</v>
      </c>
      <c r="F1511" s="26" t="s">
        <v>395</v>
      </c>
      <c r="G1511" s="26" t="s">
        <v>1274</v>
      </c>
      <c r="H1511" s="26">
        <v>41.15</v>
      </c>
      <c r="I1511" s="26">
        <v>-96.5</v>
      </c>
      <c r="J1511" s="26">
        <v>346.8</v>
      </c>
      <c r="P1511" s="52" t="s">
        <v>179</v>
      </c>
      <c r="Q1511" s="52"/>
      <c r="R1511" s="52"/>
      <c r="S1511" s="52" t="s">
        <v>1647</v>
      </c>
      <c r="T1511" s="52" t="s">
        <v>1647</v>
      </c>
      <c r="U1511" s="26">
        <v>1.28</v>
      </c>
      <c r="X1511" s="26" t="s">
        <v>1275</v>
      </c>
      <c r="Y1511" s="26">
        <v>6.3</v>
      </c>
      <c r="Z1511" s="26">
        <v>2.6</v>
      </c>
      <c r="AB1511" s="26" t="s">
        <v>1590</v>
      </c>
      <c r="AC1511" s="26" t="s">
        <v>1276</v>
      </c>
      <c r="AD1511" s="153" t="str">
        <f t="shared" si="270"/>
        <v>Barley</v>
      </c>
      <c r="AE1511" s="26" t="s">
        <v>205</v>
      </c>
      <c r="AP1511" s="26" t="s">
        <v>208</v>
      </c>
      <c r="AQ1511" s="26">
        <v>3</v>
      </c>
      <c r="AR1511" s="26">
        <v>3</v>
      </c>
      <c r="AS1511" s="26" t="s">
        <v>177</v>
      </c>
      <c r="AU1511" s="26">
        <v>3170</v>
      </c>
      <c r="AW1511" s="26" t="s">
        <v>1279</v>
      </c>
      <c r="AX1511" s="26" t="s">
        <v>1278</v>
      </c>
      <c r="BB1511" s="26">
        <v>1980</v>
      </c>
      <c r="BC1511" s="26">
        <v>1100</v>
      </c>
      <c r="DG1511" s="26">
        <f>18.19/1.28</f>
        <v>14.2109375</v>
      </c>
      <c r="DH1511" s="26">
        <f>20.79/1.28</f>
        <v>16.2421875</v>
      </c>
      <c r="DI1511" s="26" t="s">
        <v>1298</v>
      </c>
      <c r="FA1511" s="26" t="s">
        <v>1282</v>
      </c>
      <c r="FC1511" s="26">
        <v>69</v>
      </c>
    </row>
    <row r="1512" spans="1:159" s="26" customFormat="1" x14ac:dyDescent="0.25">
      <c r="A1512" s="26">
        <v>69</v>
      </c>
      <c r="B1512" s="26" t="s">
        <v>1272</v>
      </c>
      <c r="C1512" s="26" t="s">
        <v>1273</v>
      </c>
      <c r="D1512" s="26">
        <v>2000</v>
      </c>
      <c r="E1512" s="26">
        <v>1995</v>
      </c>
      <c r="F1512" s="26" t="s">
        <v>395</v>
      </c>
      <c r="G1512" s="26" t="s">
        <v>1274</v>
      </c>
      <c r="H1512" s="26">
        <v>41.15</v>
      </c>
      <c r="I1512" s="26">
        <v>-96.5</v>
      </c>
      <c r="J1512" s="26">
        <v>346.8</v>
      </c>
      <c r="P1512" s="52" t="s">
        <v>179</v>
      </c>
      <c r="Q1512" s="52"/>
      <c r="R1512" s="52"/>
      <c r="S1512" s="52" t="s">
        <v>1647</v>
      </c>
      <c r="T1512" s="52" t="s">
        <v>1647</v>
      </c>
      <c r="U1512" s="26">
        <v>1.28</v>
      </c>
      <c r="X1512" s="26" t="s">
        <v>1275</v>
      </c>
      <c r="Y1512" s="26">
        <v>6.3</v>
      </c>
      <c r="Z1512" s="26">
        <v>2.6</v>
      </c>
      <c r="AB1512" s="26" t="s">
        <v>1590</v>
      </c>
      <c r="AC1512" s="26" t="s">
        <v>166</v>
      </c>
      <c r="AD1512" s="153" t="str">
        <f t="shared" si="270"/>
        <v>Rye</v>
      </c>
      <c r="AE1512" s="26" t="s">
        <v>205</v>
      </c>
      <c r="AP1512" s="26" t="s">
        <v>208</v>
      </c>
      <c r="AQ1512" s="26">
        <v>3</v>
      </c>
      <c r="AR1512" s="26">
        <v>3</v>
      </c>
      <c r="AS1512" s="26" t="s">
        <v>177</v>
      </c>
      <c r="AU1512" s="26">
        <v>6310</v>
      </c>
      <c r="AW1512" s="26" t="s">
        <v>1279</v>
      </c>
      <c r="AX1512" s="26" t="s">
        <v>1278</v>
      </c>
      <c r="BB1512" s="26">
        <v>1980</v>
      </c>
      <c r="BC1512" s="26">
        <v>1170</v>
      </c>
      <c r="DG1512" s="26">
        <f t="shared" ref="DG1512:DG1514" si="278">18.19/1.28</f>
        <v>14.2109375</v>
      </c>
      <c r="DH1512" s="26">
        <f>22.62/1.28</f>
        <v>17.671875</v>
      </c>
      <c r="DI1512" s="26" t="s">
        <v>1298</v>
      </c>
      <c r="FA1512" s="26" t="s">
        <v>1282</v>
      </c>
      <c r="FC1512" s="26">
        <v>69</v>
      </c>
    </row>
    <row r="1513" spans="1:159" s="26" customFormat="1" x14ac:dyDescent="0.25">
      <c r="A1513" s="26">
        <v>69</v>
      </c>
      <c r="B1513" s="26" t="s">
        <v>1272</v>
      </c>
      <c r="C1513" s="26" t="s">
        <v>1273</v>
      </c>
      <c r="D1513" s="26">
        <v>2000</v>
      </c>
      <c r="E1513" s="26">
        <v>1995</v>
      </c>
      <c r="F1513" s="26" t="s">
        <v>395</v>
      </c>
      <c r="G1513" s="26" t="s">
        <v>1274</v>
      </c>
      <c r="H1513" s="26">
        <v>41.15</v>
      </c>
      <c r="I1513" s="26">
        <v>-96.5</v>
      </c>
      <c r="J1513" s="26">
        <v>346.8</v>
      </c>
      <c r="P1513" s="52" t="s">
        <v>179</v>
      </c>
      <c r="Q1513" s="52"/>
      <c r="R1513" s="52"/>
      <c r="S1513" s="52" t="s">
        <v>1647</v>
      </c>
      <c r="T1513" s="52" t="s">
        <v>1647</v>
      </c>
      <c r="U1513" s="26">
        <v>1.28</v>
      </c>
      <c r="X1513" s="26" t="s">
        <v>1275</v>
      </c>
      <c r="Y1513" s="26">
        <v>6.3</v>
      </c>
      <c r="Z1513" s="26">
        <v>2.6</v>
      </c>
      <c r="AB1513" s="26" t="s">
        <v>1590</v>
      </c>
      <c r="AC1513" s="26" t="s">
        <v>940</v>
      </c>
      <c r="AD1513" s="153" t="str">
        <f t="shared" si="270"/>
        <v>Triticale</v>
      </c>
      <c r="AE1513" s="26" t="s">
        <v>205</v>
      </c>
      <c r="AP1513" s="26" t="s">
        <v>208</v>
      </c>
      <c r="AQ1513" s="26">
        <v>3</v>
      </c>
      <c r="AR1513" s="26">
        <v>3</v>
      </c>
      <c r="AS1513" s="26" t="s">
        <v>177</v>
      </c>
      <c r="AU1513" s="26">
        <v>7160</v>
      </c>
      <c r="AW1513" s="26" t="s">
        <v>1279</v>
      </c>
      <c r="AX1513" s="26" t="s">
        <v>1278</v>
      </c>
      <c r="BB1513" s="26">
        <v>1980</v>
      </c>
      <c r="BC1513" s="26">
        <v>1410</v>
      </c>
      <c r="DG1513" s="26">
        <f t="shared" si="278"/>
        <v>14.2109375</v>
      </c>
      <c r="DH1513" s="26">
        <f>20.18/1.28</f>
        <v>15.765625</v>
      </c>
      <c r="DI1513" s="26" t="s">
        <v>1298</v>
      </c>
      <c r="FA1513" s="26" t="s">
        <v>1282</v>
      </c>
      <c r="FC1513" s="26">
        <v>69</v>
      </c>
    </row>
    <row r="1514" spans="1:159" s="26" customFormat="1" x14ac:dyDescent="0.25">
      <c r="A1514" s="26">
        <v>69</v>
      </c>
      <c r="B1514" s="26" t="s">
        <v>1272</v>
      </c>
      <c r="C1514" s="26" t="s">
        <v>1273</v>
      </c>
      <c r="D1514" s="26">
        <v>2000</v>
      </c>
      <c r="E1514" s="26">
        <v>1995</v>
      </c>
      <c r="F1514" s="26" t="s">
        <v>395</v>
      </c>
      <c r="G1514" s="26" t="s">
        <v>1274</v>
      </c>
      <c r="H1514" s="26">
        <v>41.15</v>
      </c>
      <c r="I1514" s="26">
        <v>-96.5</v>
      </c>
      <c r="J1514" s="26">
        <v>346.8</v>
      </c>
      <c r="P1514" s="52" t="s">
        <v>179</v>
      </c>
      <c r="Q1514" s="52"/>
      <c r="R1514" s="52"/>
      <c r="S1514" s="52" t="s">
        <v>1647</v>
      </c>
      <c r="T1514" s="52" t="s">
        <v>1647</v>
      </c>
      <c r="U1514" s="26">
        <v>1.28</v>
      </c>
      <c r="X1514" s="26" t="s">
        <v>1275</v>
      </c>
      <c r="Y1514" s="26">
        <v>6.3</v>
      </c>
      <c r="Z1514" s="26">
        <v>2.6</v>
      </c>
      <c r="AB1514" s="26" t="s">
        <v>1590</v>
      </c>
      <c r="AC1514" s="26" t="s">
        <v>150</v>
      </c>
      <c r="AD1514" s="153" t="str">
        <f t="shared" si="270"/>
        <v>Wheat</v>
      </c>
      <c r="AE1514" s="26" t="s">
        <v>205</v>
      </c>
      <c r="AP1514" s="26" t="s">
        <v>208</v>
      </c>
      <c r="AQ1514" s="26">
        <v>3</v>
      </c>
      <c r="AR1514" s="26">
        <v>3</v>
      </c>
      <c r="AS1514" s="26" t="s">
        <v>177</v>
      </c>
      <c r="AU1514" s="26">
        <v>6710</v>
      </c>
      <c r="AW1514" s="26" t="s">
        <v>1279</v>
      </c>
      <c r="AX1514" s="26" t="s">
        <v>1278</v>
      </c>
      <c r="BB1514" s="26">
        <v>1980</v>
      </c>
      <c r="BC1514" s="26">
        <v>1510</v>
      </c>
      <c r="DG1514" s="26">
        <f t="shared" si="278"/>
        <v>14.2109375</v>
      </c>
      <c r="DH1514" s="26">
        <f>20.18/1.28</f>
        <v>15.765625</v>
      </c>
      <c r="DI1514" s="26" t="s">
        <v>1298</v>
      </c>
      <c r="FA1514" s="26" t="s">
        <v>1282</v>
      </c>
      <c r="FC1514" s="26">
        <v>69</v>
      </c>
    </row>
    <row r="1515" spans="1:159" s="35" customFormat="1" x14ac:dyDescent="0.25">
      <c r="A1515" s="35">
        <v>69</v>
      </c>
      <c r="B1515" s="35" t="s">
        <v>1272</v>
      </c>
      <c r="C1515" s="35" t="s">
        <v>1273</v>
      </c>
      <c r="D1515" s="35">
        <v>2000</v>
      </c>
      <c r="E1515" s="35">
        <v>1996</v>
      </c>
      <c r="F1515" s="35" t="s">
        <v>395</v>
      </c>
      <c r="G1515" s="35" t="s">
        <v>1274</v>
      </c>
      <c r="H1515" s="35">
        <v>41.15</v>
      </c>
      <c r="I1515" s="35">
        <v>-96.5</v>
      </c>
      <c r="J1515" s="35">
        <v>346.8</v>
      </c>
      <c r="P1515" s="54" t="s">
        <v>180</v>
      </c>
      <c r="Q1515" s="54"/>
      <c r="R1515" s="54"/>
      <c r="S1515" s="54" t="s">
        <v>1647</v>
      </c>
      <c r="T1515" s="54" t="s">
        <v>1647</v>
      </c>
      <c r="U1515" s="35">
        <v>1.28</v>
      </c>
      <c r="X1515" s="35" t="s">
        <v>1275</v>
      </c>
      <c r="Y1515" s="35">
        <v>6.3</v>
      </c>
      <c r="Z1515" s="35">
        <v>2.6</v>
      </c>
      <c r="AB1515" s="35" t="s">
        <v>1590</v>
      </c>
      <c r="AC1515" s="35" t="s">
        <v>1276</v>
      </c>
      <c r="AD1515" s="153" t="str">
        <f t="shared" si="270"/>
        <v>Barley</v>
      </c>
      <c r="AE1515" s="35" t="s">
        <v>205</v>
      </c>
      <c r="AP1515" s="35" t="s">
        <v>208</v>
      </c>
      <c r="AQ1515" s="35">
        <v>3</v>
      </c>
      <c r="AR1515" s="35">
        <v>3</v>
      </c>
      <c r="AS1515" s="35" t="s">
        <v>177</v>
      </c>
      <c r="AU1515" s="35">
        <v>130</v>
      </c>
      <c r="AW1515" s="35" t="s">
        <v>1280</v>
      </c>
      <c r="BB1515" s="35">
        <v>1200</v>
      </c>
      <c r="BC1515" s="35">
        <v>1480</v>
      </c>
      <c r="DE1515" s="35">
        <v>24.88</v>
      </c>
      <c r="DF1515" s="35">
        <v>20.39</v>
      </c>
      <c r="DG1515" s="35">
        <f>17.57/1.28</f>
        <v>13.7265625</v>
      </c>
      <c r="DH1515" s="35">
        <f>22.21/1.28</f>
        <v>17.3515625</v>
      </c>
      <c r="DI1515" s="35" t="s">
        <v>1298</v>
      </c>
      <c r="FA1515" s="35" t="s">
        <v>1282</v>
      </c>
      <c r="FC1515" s="35">
        <v>69</v>
      </c>
    </row>
    <row r="1516" spans="1:159" s="35" customFormat="1" x14ac:dyDescent="0.25">
      <c r="A1516" s="35">
        <v>69</v>
      </c>
      <c r="B1516" s="35" t="s">
        <v>1272</v>
      </c>
      <c r="C1516" s="35" t="s">
        <v>1273</v>
      </c>
      <c r="D1516" s="35">
        <v>2000</v>
      </c>
      <c r="E1516" s="35">
        <v>1996</v>
      </c>
      <c r="F1516" s="35" t="s">
        <v>395</v>
      </c>
      <c r="G1516" s="35" t="s">
        <v>1274</v>
      </c>
      <c r="H1516" s="35">
        <v>41.15</v>
      </c>
      <c r="I1516" s="35">
        <v>-96.5</v>
      </c>
      <c r="J1516" s="35">
        <v>346.8</v>
      </c>
      <c r="P1516" s="54" t="s">
        <v>180</v>
      </c>
      <c r="Q1516" s="54"/>
      <c r="R1516" s="54"/>
      <c r="S1516" s="54" t="s">
        <v>1647</v>
      </c>
      <c r="T1516" s="54" t="s">
        <v>1647</v>
      </c>
      <c r="U1516" s="35">
        <v>1.28</v>
      </c>
      <c r="X1516" s="35" t="s">
        <v>1275</v>
      </c>
      <c r="Y1516" s="35">
        <v>6.3</v>
      </c>
      <c r="Z1516" s="35">
        <v>2.6</v>
      </c>
      <c r="AB1516" s="35" t="s">
        <v>1590</v>
      </c>
      <c r="AC1516" s="35" t="s">
        <v>166</v>
      </c>
      <c r="AD1516" s="153" t="str">
        <f t="shared" si="270"/>
        <v>Rye</v>
      </c>
      <c r="AE1516" s="35" t="s">
        <v>205</v>
      </c>
      <c r="AP1516" s="35" t="s">
        <v>208</v>
      </c>
      <c r="AQ1516" s="35">
        <v>3</v>
      </c>
      <c r="AR1516" s="35">
        <v>3</v>
      </c>
      <c r="AS1516" s="35" t="s">
        <v>177</v>
      </c>
      <c r="AU1516" s="35">
        <v>2890</v>
      </c>
      <c r="AW1516" s="35" t="s">
        <v>1281</v>
      </c>
      <c r="BB1516" s="35">
        <v>1200</v>
      </c>
      <c r="BC1516" s="35">
        <v>2190</v>
      </c>
      <c r="DG1516" s="35">
        <f t="shared" ref="DG1516:DG1519" si="279">17.57/1.28</f>
        <v>13.7265625</v>
      </c>
      <c r="DH1516" s="35">
        <f>19.61/1.28</f>
        <v>15.3203125</v>
      </c>
      <c r="DI1516" s="35" t="s">
        <v>1298</v>
      </c>
      <c r="FA1516" s="35" t="s">
        <v>1282</v>
      </c>
      <c r="FC1516" s="35">
        <v>69</v>
      </c>
    </row>
    <row r="1517" spans="1:159" s="35" customFormat="1" x14ac:dyDescent="0.25">
      <c r="A1517" s="35">
        <v>69</v>
      </c>
      <c r="B1517" s="35" t="s">
        <v>1272</v>
      </c>
      <c r="C1517" s="35" t="s">
        <v>1273</v>
      </c>
      <c r="D1517" s="35">
        <v>2000</v>
      </c>
      <c r="E1517" s="35">
        <v>1996</v>
      </c>
      <c r="F1517" s="35" t="s">
        <v>395</v>
      </c>
      <c r="G1517" s="35" t="s">
        <v>1274</v>
      </c>
      <c r="H1517" s="35">
        <v>41.15</v>
      </c>
      <c r="I1517" s="35">
        <v>-96.5</v>
      </c>
      <c r="J1517" s="35">
        <v>346.8</v>
      </c>
      <c r="P1517" s="54" t="s">
        <v>180</v>
      </c>
      <c r="Q1517" s="54"/>
      <c r="R1517" s="54"/>
      <c r="S1517" s="54" t="s">
        <v>1647</v>
      </c>
      <c r="T1517" s="54" t="s">
        <v>1647</v>
      </c>
      <c r="U1517" s="35">
        <v>1.28</v>
      </c>
      <c r="X1517" s="35" t="s">
        <v>1275</v>
      </c>
      <c r="Y1517" s="35">
        <v>6.3</v>
      </c>
      <c r="Z1517" s="35">
        <v>2.6</v>
      </c>
      <c r="AB1517" s="35" t="s">
        <v>1590</v>
      </c>
      <c r="AC1517" s="35" t="s">
        <v>940</v>
      </c>
      <c r="AD1517" s="153" t="str">
        <f t="shared" si="270"/>
        <v>Triticale</v>
      </c>
      <c r="AE1517" s="35" t="s">
        <v>205</v>
      </c>
      <c r="AP1517" s="35" t="s">
        <v>208</v>
      </c>
      <c r="AQ1517" s="35">
        <v>3</v>
      </c>
      <c r="AR1517" s="35">
        <v>3</v>
      </c>
      <c r="AS1517" s="35" t="s">
        <v>177</v>
      </c>
      <c r="AU1517" s="35">
        <v>750</v>
      </c>
      <c r="AW1517" s="35" t="s">
        <v>1281</v>
      </c>
      <c r="BB1517" s="35">
        <v>1200</v>
      </c>
      <c r="BC1517" s="35">
        <v>1440</v>
      </c>
      <c r="DG1517" s="35">
        <f t="shared" si="279"/>
        <v>13.7265625</v>
      </c>
      <c r="DH1517" s="35">
        <f>16</f>
        <v>16</v>
      </c>
      <c r="DI1517" s="35" t="s">
        <v>1298</v>
      </c>
      <c r="FA1517" s="35" t="s">
        <v>1282</v>
      </c>
      <c r="FC1517" s="35">
        <v>69</v>
      </c>
    </row>
    <row r="1518" spans="1:159" s="35" customFormat="1" x14ac:dyDescent="0.25">
      <c r="A1518" s="35">
        <v>69</v>
      </c>
      <c r="B1518" s="35" t="s">
        <v>1272</v>
      </c>
      <c r="C1518" s="35" t="s">
        <v>1273</v>
      </c>
      <c r="D1518" s="35">
        <v>2000</v>
      </c>
      <c r="E1518" s="35">
        <v>1996</v>
      </c>
      <c r="F1518" s="35" t="s">
        <v>395</v>
      </c>
      <c r="G1518" s="35" t="s">
        <v>1274</v>
      </c>
      <c r="H1518" s="35">
        <v>41.15</v>
      </c>
      <c r="I1518" s="35">
        <v>-96.5</v>
      </c>
      <c r="J1518" s="35">
        <v>346.8</v>
      </c>
      <c r="P1518" s="54" t="s">
        <v>180</v>
      </c>
      <c r="Q1518" s="54"/>
      <c r="R1518" s="54"/>
      <c r="S1518" s="54" t="s">
        <v>1647</v>
      </c>
      <c r="T1518" s="54" t="s">
        <v>1647</v>
      </c>
      <c r="U1518" s="35">
        <v>1.28</v>
      </c>
      <c r="X1518" s="35" t="s">
        <v>1275</v>
      </c>
      <c r="Y1518" s="35">
        <v>6.3</v>
      </c>
      <c r="Z1518" s="35">
        <v>2.6</v>
      </c>
      <c r="AB1518" s="35" t="s">
        <v>1590</v>
      </c>
      <c r="AC1518" s="35" t="s">
        <v>150</v>
      </c>
      <c r="AD1518" s="153" t="str">
        <f t="shared" si="270"/>
        <v>Wheat</v>
      </c>
      <c r="AE1518" s="35" t="s">
        <v>205</v>
      </c>
      <c r="AP1518" s="35" t="s">
        <v>208</v>
      </c>
      <c r="AQ1518" s="35">
        <v>3</v>
      </c>
      <c r="AR1518" s="35">
        <v>3</v>
      </c>
      <c r="AS1518" s="35" t="s">
        <v>177</v>
      </c>
      <c r="AU1518" s="35">
        <v>2170</v>
      </c>
      <c r="AW1518" s="35" t="s">
        <v>1280</v>
      </c>
      <c r="BB1518" s="35">
        <v>1200</v>
      </c>
      <c r="BC1518" s="35">
        <v>1960</v>
      </c>
      <c r="DG1518" s="35">
        <f t="shared" si="279"/>
        <v>13.7265625</v>
      </c>
      <c r="DH1518" s="35">
        <f>16</f>
        <v>16</v>
      </c>
      <c r="DI1518" s="35" t="s">
        <v>1298</v>
      </c>
      <c r="FA1518" s="35" t="s">
        <v>1282</v>
      </c>
      <c r="FC1518" s="35">
        <v>69</v>
      </c>
    </row>
    <row r="1519" spans="1:159" s="35" customFormat="1" x14ac:dyDescent="0.25">
      <c r="A1519" s="35">
        <v>69</v>
      </c>
      <c r="B1519" s="35" t="s">
        <v>1272</v>
      </c>
      <c r="C1519" s="35" t="s">
        <v>1273</v>
      </c>
      <c r="D1519" s="35">
        <v>2000</v>
      </c>
      <c r="E1519" s="35">
        <v>1996</v>
      </c>
      <c r="F1519" s="35" t="s">
        <v>395</v>
      </c>
      <c r="G1519" s="35" t="s">
        <v>1274</v>
      </c>
      <c r="H1519" s="35">
        <v>41.15</v>
      </c>
      <c r="I1519" s="35">
        <v>-96.5</v>
      </c>
      <c r="J1519" s="35">
        <v>346.8</v>
      </c>
      <c r="P1519" s="54" t="s">
        <v>180</v>
      </c>
      <c r="Q1519" s="54"/>
      <c r="R1519" s="54"/>
      <c r="S1519" s="54" t="s">
        <v>1647</v>
      </c>
      <c r="T1519" s="54" t="s">
        <v>1647</v>
      </c>
      <c r="U1519" s="35">
        <v>1.28</v>
      </c>
      <c r="X1519" s="35" t="s">
        <v>1275</v>
      </c>
      <c r="Y1519" s="35">
        <v>6.3</v>
      </c>
      <c r="Z1519" s="35">
        <v>2.6</v>
      </c>
      <c r="AB1519" s="35" t="s">
        <v>1590</v>
      </c>
      <c r="AC1519" s="35" t="s">
        <v>301</v>
      </c>
      <c r="AD1519" s="153" t="str">
        <f t="shared" si="270"/>
        <v>Vetch</v>
      </c>
      <c r="AE1519" s="35" t="s">
        <v>205</v>
      </c>
      <c r="AP1519" s="35" t="s">
        <v>208</v>
      </c>
      <c r="AQ1519" s="35">
        <v>3</v>
      </c>
      <c r="AR1519" s="35">
        <v>3</v>
      </c>
      <c r="AS1519" s="35" t="s">
        <v>177</v>
      </c>
      <c r="AU1519" s="35">
        <v>650</v>
      </c>
      <c r="AW1519" s="35" t="s">
        <v>1280</v>
      </c>
      <c r="BB1519" s="35">
        <v>1200</v>
      </c>
      <c r="BC1519" s="35">
        <v>1700</v>
      </c>
      <c r="DG1519" s="35">
        <f t="shared" si="279"/>
        <v>13.7265625</v>
      </c>
      <c r="DH1519" s="35">
        <f>16</f>
        <v>16</v>
      </c>
      <c r="DI1519" s="35" t="s">
        <v>1298</v>
      </c>
      <c r="FA1519" s="35" t="s">
        <v>1282</v>
      </c>
      <c r="FC1519" s="35">
        <v>69</v>
      </c>
    </row>
    <row r="1520" spans="1:159" s="38" customFormat="1" x14ac:dyDescent="0.25">
      <c r="A1520" s="38">
        <v>70</v>
      </c>
      <c r="B1520" s="38" t="s">
        <v>1283</v>
      </c>
      <c r="C1520" s="38" t="s">
        <v>1284</v>
      </c>
      <c r="D1520" s="38">
        <v>1996</v>
      </c>
      <c r="E1520" s="38">
        <v>1992</v>
      </c>
      <c r="F1520" s="38" t="s">
        <v>1285</v>
      </c>
      <c r="G1520" s="38" t="s">
        <v>1286</v>
      </c>
      <c r="H1520" s="38">
        <v>36.69</v>
      </c>
      <c r="I1520" s="38">
        <v>-121.64</v>
      </c>
      <c r="J1520" s="38">
        <v>11.5</v>
      </c>
      <c r="P1520" s="57" t="s">
        <v>179</v>
      </c>
      <c r="Q1520" s="57" t="s">
        <v>1057</v>
      </c>
      <c r="R1520" s="57" t="s">
        <v>1288</v>
      </c>
      <c r="S1520" s="57" t="s">
        <v>1660</v>
      </c>
      <c r="T1520" s="57" t="s">
        <v>1660</v>
      </c>
      <c r="U1520" s="38">
        <v>1.46</v>
      </c>
      <c r="V1520" s="38">
        <v>69</v>
      </c>
      <c r="W1520" s="38">
        <v>20</v>
      </c>
      <c r="X1520" s="38" t="s">
        <v>175</v>
      </c>
      <c r="Y1520" s="38">
        <v>7.7</v>
      </c>
      <c r="Z1520" s="38">
        <v>0.62</v>
      </c>
      <c r="AB1520" s="38" t="s">
        <v>1591</v>
      </c>
      <c r="AC1520" s="38" t="s">
        <v>1287</v>
      </c>
      <c r="AD1520" s="153" t="str">
        <f t="shared" si="270"/>
        <v>Phacelia</v>
      </c>
      <c r="AE1520" s="38" t="s">
        <v>768</v>
      </c>
      <c r="AP1520" s="38" t="s">
        <v>154</v>
      </c>
      <c r="AQ1520" s="38">
        <v>3</v>
      </c>
      <c r="AR1520" s="38">
        <v>3</v>
      </c>
      <c r="AS1520" s="38" t="s">
        <v>177</v>
      </c>
      <c r="AU1520" s="38">
        <v>2.9</v>
      </c>
      <c r="AV1520" s="38">
        <f>AU1520/0.1</f>
        <v>28.999999999999996</v>
      </c>
      <c r="BB1520" s="38">
        <v>3</v>
      </c>
      <c r="BC1520" s="38">
        <v>4</v>
      </c>
      <c r="BK1520" s="38">
        <v>67.489999999999995</v>
      </c>
      <c r="BL1520" s="38">
        <v>53.72</v>
      </c>
      <c r="BM1520" s="38" t="s">
        <v>1294</v>
      </c>
      <c r="DG1520" s="38">
        <v>4.82</v>
      </c>
      <c r="DH1520" s="38">
        <v>5.87</v>
      </c>
      <c r="DM1520" s="38">
        <v>0.75</v>
      </c>
      <c r="DN1520" s="38">
        <v>0.75</v>
      </c>
      <c r="DO1520" s="38" t="s">
        <v>1299</v>
      </c>
      <c r="DP1520" s="38">
        <v>1.38</v>
      </c>
      <c r="DQ1520" s="38">
        <v>6.13</v>
      </c>
      <c r="DR1520" s="38" t="s">
        <v>1300</v>
      </c>
      <c r="DY1520" s="38">
        <v>6.56</v>
      </c>
      <c r="DZ1520" s="38">
        <v>6.13</v>
      </c>
      <c r="EQ1520" s="38">
        <v>86.95</v>
      </c>
      <c r="ER1520" s="38">
        <v>86.95</v>
      </c>
      <c r="ES1520" s="38">
        <v>10.52</v>
      </c>
      <c r="ET1520" s="38">
        <v>11.66</v>
      </c>
      <c r="FA1520" s="38" t="s">
        <v>929</v>
      </c>
      <c r="FB1520" s="38" t="s">
        <v>1297</v>
      </c>
      <c r="FC1520" s="38">
        <v>70</v>
      </c>
    </row>
    <row r="1521" spans="1:159" s="38" customFormat="1" x14ac:dyDescent="0.25">
      <c r="A1521" s="38">
        <v>70</v>
      </c>
      <c r="B1521" s="38" t="s">
        <v>1283</v>
      </c>
      <c r="C1521" s="38" t="s">
        <v>1284</v>
      </c>
      <c r="D1521" s="38">
        <v>1996</v>
      </c>
      <c r="E1521" s="38">
        <v>1992</v>
      </c>
      <c r="F1521" s="38" t="s">
        <v>1285</v>
      </c>
      <c r="G1521" s="38" t="s">
        <v>1286</v>
      </c>
      <c r="H1521" s="38">
        <v>36.69</v>
      </c>
      <c r="I1521" s="38">
        <v>-121.64</v>
      </c>
      <c r="J1521" s="38">
        <v>11.5</v>
      </c>
      <c r="P1521" s="57" t="s">
        <v>179</v>
      </c>
      <c r="Q1521" s="57" t="s">
        <v>1057</v>
      </c>
      <c r="R1521" s="57" t="s">
        <v>1289</v>
      </c>
      <c r="S1521" s="57" t="s">
        <v>1660</v>
      </c>
      <c r="T1521" s="57" t="s">
        <v>1660</v>
      </c>
      <c r="U1521" s="38">
        <v>1.46</v>
      </c>
      <c r="V1521" s="38">
        <v>69</v>
      </c>
      <c r="W1521" s="38">
        <v>20</v>
      </c>
      <c r="X1521" s="38" t="s">
        <v>175</v>
      </c>
      <c r="Y1521" s="38">
        <v>7.7</v>
      </c>
      <c r="Z1521" s="38">
        <v>0.62</v>
      </c>
      <c r="AB1521" s="38" t="s">
        <v>1591</v>
      </c>
      <c r="AC1521" s="38" t="s">
        <v>1287</v>
      </c>
      <c r="AD1521" s="153" t="str">
        <f t="shared" si="270"/>
        <v>Phacelia</v>
      </c>
      <c r="AE1521" s="38" t="s">
        <v>768</v>
      </c>
      <c r="AP1521" s="38" t="s">
        <v>154</v>
      </c>
      <c r="AQ1521" s="38">
        <v>3</v>
      </c>
      <c r="AR1521" s="38">
        <v>3</v>
      </c>
      <c r="AS1521" s="38" t="s">
        <v>177</v>
      </c>
      <c r="AU1521" s="38">
        <v>203</v>
      </c>
      <c r="AV1521" s="38">
        <f>AU1521/11.1</f>
        <v>18.288288288288289</v>
      </c>
      <c r="BB1521" s="38">
        <v>123</v>
      </c>
      <c r="BC1521" s="38">
        <v>106</v>
      </c>
      <c r="BK1521" s="38">
        <v>80.33</v>
      </c>
      <c r="BL1521" s="38">
        <v>88.86</v>
      </c>
      <c r="BM1521" s="38" t="s">
        <v>1294</v>
      </c>
      <c r="DG1521" s="38">
        <v>11.17</v>
      </c>
      <c r="DH1521" s="38">
        <v>10.87</v>
      </c>
      <c r="DM1521" s="38">
        <v>5.86</v>
      </c>
      <c r="DN1521" s="38">
        <v>1.4</v>
      </c>
      <c r="DO1521" s="38" t="s">
        <v>1299</v>
      </c>
      <c r="DP1521" s="38">
        <v>10.8</v>
      </c>
      <c r="DQ1521" s="38">
        <v>16.510000000000002</v>
      </c>
      <c r="DR1521" s="38" t="s">
        <v>1300</v>
      </c>
      <c r="DY1521" s="38">
        <v>12.79</v>
      </c>
      <c r="DZ1521" s="38">
        <v>10.47</v>
      </c>
      <c r="EQ1521" s="38">
        <v>203.57</v>
      </c>
      <c r="ER1521" s="38">
        <v>97.11</v>
      </c>
      <c r="ES1521" s="38">
        <v>19.37</v>
      </c>
      <c r="ET1521" s="38">
        <v>15.79</v>
      </c>
      <c r="FA1521" s="38" t="s">
        <v>1077</v>
      </c>
      <c r="FB1521" s="38" t="s">
        <v>1297</v>
      </c>
      <c r="FC1521" s="38">
        <v>70</v>
      </c>
    </row>
    <row r="1522" spans="1:159" s="38" customFormat="1" x14ac:dyDescent="0.25">
      <c r="A1522" s="38">
        <v>70</v>
      </c>
      <c r="B1522" s="38" t="s">
        <v>1283</v>
      </c>
      <c r="C1522" s="38" t="s">
        <v>1284</v>
      </c>
      <c r="D1522" s="38">
        <v>1996</v>
      </c>
      <c r="E1522" s="38">
        <v>1993</v>
      </c>
      <c r="F1522" s="38" t="s">
        <v>1285</v>
      </c>
      <c r="G1522" s="38" t="s">
        <v>1286</v>
      </c>
      <c r="H1522" s="38">
        <v>36.69</v>
      </c>
      <c r="I1522" s="38">
        <v>-121.64</v>
      </c>
      <c r="J1522" s="38">
        <v>11.5</v>
      </c>
      <c r="P1522" s="57" t="s">
        <v>179</v>
      </c>
      <c r="Q1522" s="57" t="s">
        <v>1057</v>
      </c>
      <c r="R1522" s="57" t="s">
        <v>1290</v>
      </c>
      <c r="S1522" s="57" t="s">
        <v>1660</v>
      </c>
      <c r="T1522" s="57" t="s">
        <v>1660</v>
      </c>
      <c r="U1522" s="38">
        <v>1.46</v>
      </c>
      <c r="V1522" s="38">
        <v>69</v>
      </c>
      <c r="W1522" s="38">
        <v>20</v>
      </c>
      <c r="X1522" s="38" t="s">
        <v>175</v>
      </c>
      <c r="Y1522" s="38">
        <v>7.7</v>
      </c>
      <c r="Z1522" s="38">
        <v>0.62</v>
      </c>
      <c r="AB1522" s="38" t="s">
        <v>1591</v>
      </c>
      <c r="AC1522" s="38" t="s">
        <v>1287</v>
      </c>
      <c r="AD1522" s="153" t="str">
        <f t="shared" si="270"/>
        <v>Phacelia</v>
      </c>
      <c r="AE1522" s="38" t="s">
        <v>768</v>
      </c>
      <c r="AP1522" s="38" t="s">
        <v>154</v>
      </c>
      <c r="AQ1522" s="38">
        <v>3</v>
      </c>
      <c r="AR1522" s="38">
        <v>3</v>
      </c>
      <c r="AS1522" s="38" t="s">
        <v>177</v>
      </c>
      <c r="AU1522" s="38">
        <v>1219</v>
      </c>
      <c r="AV1522" s="38">
        <f>AU1522/54</f>
        <v>22.574074074074073</v>
      </c>
      <c r="BB1522" s="38">
        <v>1285</v>
      </c>
      <c r="BC1522" s="38">
        <v>1360</v>
      </c>
      <c r="BK1522" s="38">
        <v>42.55</v>
      </c>
      <c r="BL1522" s="38">
        <v>50.38</v>
      </c>
      <c r="BM1522" s="38" t="s">
        <v>1294</v>
      </c>
      <c r="DG1522" s="38">
        <v>8.9</v>
      </c>
      <c r="DH1522" s="38">
        <v>8.09</v>
      </c>
      <c r="DM1522" s="38">
        <v>0.74</v>
      </c>
      <c r="DN1522" s="38">
        <v>0.74</v>
      </c>
      <c r="DO1522" s="38" t="s">
        <v>1299</v>
      </c>
      <c r="DP1522" s="38">
        <v>9.8000000000000007</v>
      </c>
      <c r="DQ1522" s="38">
        <v>40.19</v>
      </c>
      <c r="DR1522" s="38" t="s">
        <v>1300</v>
      </c>
      <c r="DY1522" s="38">
        <v>6.56</v>
      </c>
      <c r="DZ1522" s="38">
        <v>6.56</v>
      </c>
      <c r="EQ1522" s="38">
        <v>189.18</v>
      </c>
      <c r="ER1522" s="38">
        <v>264.92</v>
      </c>
      <c r="ES1522" s="38">
        <v>10.18</v>
      </c>
      <c r="ET1522" s="38">
        <v>12.76</v>
      </c>
      <c r="FA1522" s="38" t="s">
        <v>1199</v>
      </c>
      <c r="FB1522" s="38" t="s">
        <v>1297</v>
      </c>
      <c r="FC1522" s="38">
        <v>70</v>
      </c>
    </row>
    <row r="1523" spans="1:159" s="38" customFormat="1" x14ac:dyDescent="0.25">
      <c r="A1523" s="38">
        <v>70</v>
      </c>
      <c r="B1523" s="38" t="s">
        <v>1283</v>
      </c>
      <c r="C1523" s="38" t="s">
        <v>1284</v>
      </c>
      <c r="D1523" s="38">
        <v>1996</v>
      </c>
      <c r="E1523" s="38">
        <v>1993</v>
      </c>
      <c r="F1523" s="38" t="s">
        <v>1285</v>
      </c>
      <c r="G1523" s="38" t="s">
        <v>1286</v>
      </c>
      <c r="H1523" s="38">
        <v>36.69</v>
      </c>
      <c r="I1523" s="38">
        <v>-121.64</v>
      </c>
      <c r="J1523" s="38">
        <v>11.5</v>
      </c>
      <c r="P1523" s="57" t="s">
        <v>179</v>
      </c>
      <c r="Q1523" s="57" t="s">
        <v>1057</v>
      </c>
      <c r="R1523" s="57" t="s">
        <v>1291</v>
      </c>
      <c r="S1523" s="57" t="s">
        <v>1660</v>
      </c>
      <c r="T1523" s="57" t="s">
        <v>1660</v>
      </c>
      <c r="U1523" s="38">
        <v>1.46</v>
      </c>
      <c r="V1523" s="38">
        <v>69</v>
      </c>
      <c r="W1523" s="38">
        <v>20</v>
      </c>
      <c r="X1523" s="38" t="s">
        <v>175</v>
      </c>
      <c r="Y1523" s="38">
        <v>7.7</v>
      </c>
      <c r="Z1523" s="38">
        <v>0.62</v>
      </c>
      <c r="AB1523" s="38" t="s">
        <v>1591</v>
      </c>
      <c r="AC1523" s="38" t="s">
        <v>1287</v>
      </c>
      <c r="AD1523" s="153" t="str">
        <f t="shared" si="270"/>
        <v>Phacelia</v>
      </c>
      <c r="AE1523" s="38" t="s">
        <v>768</v>
      </c>
      <c r="AP1523" s="38" t="s">
        <v>154</v>
      </c>
      <c r="AQ1523" s="38">
        <v>3</v>
      </c>
      <c r="AR1523" s="38">
        <v>3</v>
      </c>
      <c r="AS1523" s="38" t="s">
        <v>177</v>
      </c>
      <c r="AU1523" s="38">
        <v>1962</v>
      </c>
      <c r="AV1523" s="38">
        <f>AU1523/69</f>
        <v>28.434782608695652</v>
      </c>
      <c r="BB1523" s="38">
        <v>5821</v>
      </c>
      <c r="BC1523" s="38">
        <v>6180</v>
      </c>
      <c r="BK1523" s="38">
        <v>18.420000000000002</v>
      </c>
      <c r="BL1523" s="38">
        <v>3.96</v>
      </c>
      <c r="BM1523" s="38" t="s">
        <v>1294</v>
      </c>
      <c r="DG1523" s="38">
        <v>8.3699999999999992</v>
      </c>
      <c r="DH1523" s="38">
        <v>6.65</v>
      </c>
      <c r="DM1523" s="38">
        <v>3.62</v>
      </c>
      <c r="DN1523" s="38">
        <v>1.46</v>
      </c>
      <c r="DO1523" s="38" t="s">
        <v>1299</v>
      </c>
      <c r="DP1523" s="38">
        <v>22.13</v>
      </c>
      <c r="DQ1523" s="38">
        <v>107.59</v>
      </c>
      <c r="DR1523" s="38" t="s">
        <v>1300</v>
      </c>
      <c r="DY1523" s="38">
        <v>7.56</v>
      </c>
      <c r="DZ1523" s="38">
        <v>8.15</v>
      </c>
      <c r="EQ1523" s="38">
        <v>275.08999999999997</v>
      </c>
      <c r="ER1523" s="38">
        <v>236.2</v>
      </c>
      <c r="ES1523" s="38">
        <v>15.46</v>
      </c>
      <c r="ET1523" s="38">
        <v>19.62</v>
      </c>
      <c r="FA1523" s="38" t="s">
        <v>1200</v>
      </c>
      <c r="FB1523" s="38" t="s">
        <v>1297</v>
      </c>
      <c r="FC1523" s="38">
        <v>70</v>
      </c>
    </row>
    <row r="1524" spans="1:159" s="38" customFormat="1" x14ac:dyDescent="0.25">
      <c r="A1524" s="38">
        <v>70</v>
      </c>
      <c r="B1524" s="38" t="s">
        <v>1283</v>
      </c>
      <c r="C1524" s="38" t="s">
        <v>1284</v>
      </c>
      <c r="D1524" s="38">
        <v>1996</v>
      </c>
      <c r="E1524" s="38">
        <v>1993</v>
      </c>
      <c r="F1524" s="38" t="s">
        <v>1285</v>
      </c>
      <c r="G1524" s="38" t="s">
        <v>1286</v>
      </c>
      <c r="H1524" s="38">
        <v>36.69</v>
      </c>
      <c r="I1524" s="38">
        <v>-121.64</v>
      </c>
      <c r="J1524" s="38">
        <v>11.5</v>
      </c>
      <c r="P1524" s="57" t="s">
        <v>179</v>
      </c>
      <c r="Q1524" s="57" t="s">
        <v>1057</v>
      </c>
      <c r="R1524" s="57" t="s">
        <v>1292</v>
      </c>
      <c r="S1524" s="57" t="s">
        <v>1660</v>
      </c>
      <c r="T1524" s="57" t="s">
        <v>1660</v>
      </c>
      <c r="U1524" s="38">
        <v>1.46</v>
      </c>
      <c r="V1524" s="38">
        <v>69</v>
      </c>
      <c r="W1524" s="38">
        <v>20</v>
      </c>
      <c r="X1524" s="38" t="s">
        <v>175</v>
      </c>
      <c r="Y1524" s="38">
        <v>7.7</v>
      </c>
      <c r="Z1524" s="38">
        <v>0.62</v>
      </c>
      <c r="AB1524" s="38" t="s">
        <v>1591</v>
      </c>
      <c r="AC1524" s="38" t="s">
        <v>1287</v>
      </c>
      <c r="AD1524" s="153" t="str">
        <f t="shared" si="270"/>
        <v>Phacelia</v>
      </c>
      <c r="AE1524" s="38" t="s">
        <v>768</v>
      </c>
      <c r="AP1524" s="38" t="s">
        <v>154</v>
      </c>
      <c r="AQ1524" s="38">
        <v>3</v>
      </c>
      <c r="AR1524" s="38">
        <v>3</v>
      </c>
      <c r="AS1524" s="38" t="s">
        <v>177</v>
      </c>
      <c r="AU1524" s="38">
        <v>3640</v>
      </c>
      <c r="AV1524" s="38">
        <f>AU1524/106</f>
        <v>34.339622641509436</v>
      </c>
      <c r="BB1524" s="38">
        <v>8303</v>
      </c>
      <c r="BC1524" s="38">
        <v>9375</v>
      </c>
      <c r="BK1524" s="38">
        <v>15.37</v>
      </c>
      <c r="BL1524" s="38">
        <v>5.74</v>
      </c>
      <c r="BM1524" s="38" t="s">
        <v>1294</v>
      </c>
      <c r="DG1524" s="38">
        <v>7.55</v>
      </c>
      <c r="DH1524" s="38">
        <v>6.35</v>
      </c>
      <c r="DM1524" s="38">
        <v>3.42</v>
      </c>
      <c r="DN1524" s="38">
        <v>5</v>
      </c>
      <c r="DO1524" s="38" t="s">
        <v>1299</v>
      </c>
      <c r="DP1524" s="38">
        <v>8.8000000000000007</v>
      </c>
      <c r="DQ1524" s="38">
        <v>36.33</v>
      </c>
      <c r="DR1524" s="38" t="s">
        <v>1300</v>
      </c>
      <c r="DY1524" s="38">
        <v>4.8</v>
      </c>
      <c r="DZ1524" s="38">
        <v>12.93</v>
      </c>
      <c r="EQ1524" s="38">
        <v>152.24</v>
      </c>
      <c r="ER1524" s="38">
        <v>199.32</v>
      </c>
      <c r="ES1524" s="38">
        <v>4.99</v>
      </c>
      <c r="ET1524" s="38">
        <v>8</v>
      </c>
      <c r="FA1524" s="38" t="s">
        <v>928</v>
      </c>
      <c r="FB1524" s="38" t="s">
        <v>1297</v>
      </c>
      <c r="FC1524" s="38">
        <v>70</v>
      </c>
    </row>
    <row r="1525" spans="1:159" s="111" customFormat="1" x14ac:dyDescent="0.25">
      <c r="A1525" s="111">
        <v>70</v>
      </c>
      <c r="B1525" s="111" t="s">
        <v>1283</v>
      </c>
      <c r="C1525" s="111" t="s">
        <v>1284</v>
      </c>
      <c r="D1525" s="111">
        <v>1996</v>
      </c>
      <c r="E1525" s="111">
        <v>1992</v>
      </c>
      <c r="F1525" s="111" t="s">
        <v>1285</v>
      </c>
      <c r="G1525" s="111" t="s">
        <v>1286</v>
      </c>
      <c r="H1525" s="111">
        <v>36.69</v>
      </c>
      <c r="I1525" s="111">
        <v>-121.64</v>
      </c>
      <c r="J1525" s="111">
        <v>11.5</v>
      </c>
      <c r="P1525" s="112" t="s">
        <v>179</v>
      </c>
      <c r="Q1525" s="112" t="s">
        <v>1057</v>
      </c>
      <c r="R1525" s="112"/>
      <c r="S1525" s="57" t="s">
        <v>1660</v>
      </c>
      <c r="T1525" s="57" t="s">
        <v>1660</v>
      </c>
      <c r="U1525" s="111">
        <v>1.46</v>
      </c>
      <c r="V1525" s="111">
        <v>69</v>
      </c>
      <c r="W1525" s="111">
        <v>20</v>
      </c>
      <c r="X1525" s="111" t="s">
        <v>175</v>
      </c>
      <c r="Y1525" s="111">
        <v>7.7</v>
      </c>
      <c r="Z1525" s="111">
        <v>0.62</v>
      </c>
      <c r="AB1525" s="38" t="s">
        <v>1591</v>
      </c>
      <c r="AC1525" s="111" t="s">
        <v>1287</v>
      </c>
      <c r="AD1525" s="153" t="str">
        <f t="shared" si="270"/>
        <v>Phacelia</v>
      </c>
      <c r="AE1525" s="111" t="s">
        <v>768</v>
      </c>
      <c r="AP1525" s="111" t="s">
        <v>154</v>
      </c>
      <c r="AQ1525" s="111">
        <v>3</v>
      </c>
      <c r="AR1525" s="111">
        <v>3</v>
      </c>
      <c r="AS1525" s="111" t="s">
        <v>177</v>
      </c>
      <c r="AU1525" s="111">
        <v>2.9</v>
      </c>
      <c r="AV1525" s="111">
        <f>AU1525/0.1</f>
        <v>28.999999999999996</v>
      </c>
      <c r="BK1525" s="111">
        <v>20.61</v>
      </c>
      <c r="BL1525" s="111">
        <v>9.26</v>
      </c>
      <c r="BM1525" s="38" t="s">
        <v>1294</v>
      </c>
      <c r="DG1525" s="111">
        <v>11.36</v>
      </c>
      <c r="DH1525" s="111">
        <v>11.36</v>
      </c>
      <c r="DM1525" s="111">
        <v>0.65</v>
      </c>
      <c r="DN1525" s="111">
        <v>0.52</v>
      </c>
      <c r="DO1525" s="38" t="s">
        <v>1299</v>
      </c>
      <c r="DP1525" s="111">
        <v>2.82</v>
      </c>
      <c r="DQ1525" s="111">
        <v>2.82</v>
      </c>
      <c r="DR1525" s="38" t="s">
        <v>1300</v>
      </c>
      <c r="DY1525" s="111">
        <v>6.19</v>
      </c>
      <c r="DZ1525" s="111">
        <v>13</v>
      </c>
      <c r="EQ1525" s="111">
        <v>74.430000000000007</v>
      </c>
      <c r="ER1525" s="111">
        <v>238.2</v>
      </c>
      <c r="ES1525" s="111">
        <v>12.3</v>
      </c>
      <c r="ET1525" s="111">
        <v>20.61</v>
      </c>
      <c r="FA1525" s="111" t="s">
        <v>257</v>
      </c>
      <c r="FB1525" s="38" t="s">
        <v>1297</v>
      </c>
      <c r="FC1525" s="111">
        <v>70</v>
      </c>
    </row>
    <row r="1526" spans="1:159" s="111" customFormat="1" x14ac:dyDescent="0.25">
      <c r="A1526" s="111">
        <v>70</v>
      </c>
      <c r="B1526" s="111" t="s">
        <v>1283</v>
      </c>
      <c r="C1526" s="111" t="s">
        <v>1284</v>
      </c>
      <c r="D1526" s="111">
        <v>1996</v>
      </c>
      <c r="E1526" s="111">
        <v>1992</v>
      </c>
      <c r="F1526" s="111" t="s">
        <v>1285</v>
      </c>
      <c r="G1526" s="111" t="s">
        <v>1286</v>
      </c>
      <c r="H1526" s="111">
        <v>36.69</v>
      </c>
      <c r="I1526" s="111">
        <v>-121.64</v>
      </c>
      <c r="J1526" s="111">
        <v>11.5</v>
      </c>
      <c r="P1526" s="112" t="s">
        <v>179</v>
      </c>
      <c r="Q1526" s="112" t="s">
        <v>1057</v>
      </c>
      <c r="R1526" s="112"/>
      <c r="S1526" s="57" t="s">
        <v>1660</v>
      </c>
      <c r="T1526" s="57" t="s">
        <v>1660</v>
      </c>
      <c r="U1526" s="111">
        <v>1.46</v>
      </c>
      <c r="V1526" s="111">
        <v>69</v>
      </c>
      <c r="W1526" s="111">
        <v>20</v>
      </c>
      <c r="X1526" s="111" t="s">
        <v>175</v>
      </c>
      <c r="Y1526" s="111">
        <v>7.7</v>
      </c>
      <c r="Z1526" s="111">
        <v>0.62</v>
      </c>
      <c r="AB1526" s="38" t="s">
        <v>1591</v>
      </c>
      <c r="AC1526" s="111" t="s">
        <v>1287</v>
      </c>
      <c r="AD1526" s="153" t="str">
        <f t="shared" si="270"/>
        <v>Phacelia</v>
      </c>
      <c r="AE1526" s="111" t="s">
        <v>768</v>
      </c>
      <c r="AP1526" s="111" t="s">
        <v>154</v>
      </c>
      <c r="AQ1526" s="111">
        <v>3</v>
      </c>
      <c r="AR1526" s="111">
        <v>3</v>
      </c>
      <c r="AS1526" s="111" t="s">
        <v>177</v>
      </c>
      <c r="AU1526" s="111">
        <v>203</v>
      </c>
      <c r="AV1526" s="111">
        <f>AU1526/11.1</f>
        <v>18.288288288288289</v>
      </c>
      <c r="BK1526" s="111">
        <v>22.56</v>
      </c>
      <c r="BL1526" s="111">
        <v>21.76</v>
      </c>
      <c r="BM1526" s="38" t="s">
        <v>1294</v>
      </c>
      <c r="DG1526" s="111">
        <v>9.19</v>
      </c>
      <c r="DH1526" s="111">
        <v>8.89</v>
      </c>
      <c r="DM1526" s="111">
        <v>1.43</v>
      </c>
      <c r="DN1526" s="111">
        <v>1.43</v>
      </c>
      <c r="DO1526" s="38" t="s">
        <v>1299</v>
      </c>
      <c r="DP1526" s="111">
        <v>29.28</v>
      </c>
      <c r="DQ1526" s="111">
        <v>90.06</v>
      </c>
      <c r="DR1526" s="38" t="s">
        <v>1300</v>
      </c>
      <c r="DY1526" s="111">
        <v>3.22</v>
      </c>
      <c r="DZ1526" s="111">
        <v>7.64</v>
      </c>
      <c r="EQ1526" s="111">
        <v>103.08</v>
      </c>
      <c r="ER1526" s="111">
        <v>289.37</v>
      </c>
      <c r="ES1526" s="111">
        <v>4.41</v>
      </c>
      <c r="ET1526" s="111">
        <v>17.3</v>
      </c>
      <c r="FA1526" s="111" t="s">
        <v>1078</v>
      </c>
      <c r="FB1526" s="38" t="s">
        <v>1297</v>
      </c>
      <c r="FC1526" s="111">
        <v>70</v>
      </c>
    </row>
    <row r="1527" spans="1:159" s="111" customFormat="1" x14ac:dyDescent="0.25">
      <c r="A1527" s="111">
        <v>70</v>
      </c>
      <c r="B1527" s="111" t="s">
        <v>1283</v>
      </c>
      <c r="C1527" s="111" t="s">
        <v>1284</v>
      </c>
      <c r="D1527" s="111">
        <v>1996</v>
      </c>
      <c r="E1527" s="111">
        <v>1993</v>
      </c>
      <c r="F1527" s="111" t="s">
        <v>1285</v>
      </c>
      <c r="G1527" s="111" t="s">
        <v>1286</v>
      </c>
      <c r="H1527" s="111">
        <v>36.69</v>
      </c>
      <c r="I1527" s="111">
        <v>-121.64</v>
      </c>
      <c r="J1527" s="111">
        <v>11.5</v>
      </c>
      <c r="P1527" s="112" t="s">
        <v>179</v>
      </c>
      <c r="Q1527" s="112" t="s">
        <v>1057</v>
      </c>
      <c r="R1527" s="112"/>
      <c r="S1527" s="57" t="s">
        <v>1660</v>
      </c>
      <c r="T1527" s="57" t="s">
        <v>1660</v>
      </c>
      <c r="U1527" s="111">
        <v>1.46</v>
      </c>
      <c r="V1527" s="111">
        <v>69</v>
      </c>
      <c r="W1527" s="111">
        <v>20</v>
      </c>
      <c r="X1527" s="111" t="s">
        <v>175</v>
      </c>
      <c r="Y1527" s="111">
        <v>7.7</v>
      </c>
      <c r="Z1527" s="111">
        <v>0.62</v>
      </c>
      <c r="AB1527" s="38" t="s">
        <v>1591</v>
      </c>
      <c r="AC1527" s="111" t="s">
        <v>1287</v>
      </c>
      <c r="AD1527" s="153" t="str">
        <f t="shared" si="270"/>
        <v>Phacelia</v>
      </c>
      <c r="AE1527" s="111" t="s">
        <v>768</v>
      </c>
      <c r="AP1527" s="111" t="s">
        <v>154</v>
      </c>
      <c r="AQ1527" s="111">
        <v>3</v>
      </c>
      <c r="AR1527" s="111">
        <v>3</v>
      </c>
      <c r="AS1527" s="111" t="s">
        <v>177</v>
      </c>
      <c r="AU1527" s="111">
        <v>1219</v>
      </c>
      <c r="AV1527" s="111">
        <f>AU1527/54</f>
        <v>22.574074074074073</v>
      </c>
      <c r="BK1527" s="111">
        <v>44.05</v>
      </c>
      <c r="BL1527" s="111">
        <v>35.81</v>
      </c>
      <c r="BM1527" s="38" t="s">
        <v>1294</v>
      </c>
      <c r="DG1527" s="111">
        <v>8.2799999999999994</v>
      </c>
      <c r="DH1527" s="111">
        <v>7.76</v>
      </c>
      <c r="DM1527" s="111">
        <v>9.02</v>
      </c>
      <c r="DN1527" s="111">
        <v>8.1</v>
      </c>
      <c r="DO1527" s="38" t="s">
        <v>1299</v>
      </c>
      <c r="DP1527" s="111">
        <v>153.53</v>
      </c>
      <c r="DQ1527" s="111">
        <v>217.16</v>
      </c>
      <c r="DR1527" s="38" t="s">
        <v>1300</v>
      </c>
      <c r="DY1527" s="111">
        <v>5.32</v>
      </c>
      <c r="DZ1527" s="111">
        <v>6.99</v>
      </c>
      <c r="EQ1527" s="111">
        <v>49.83</v>
      </c>
      <c r="ER1527" s="111">
        <v>162.41999999999999</v>
      </c>
      <c r="ES1527" s="111">
        <v>11.14</v>
      </c>
      <c r="ET1527" s="111">
        <v>15.29</v>
      </c>
      <c r="FA1527" s="111" t="s">
        <v>1296</v>
      </c>
      <c r="FB1527" s="38" t="s">
        <v>1297</v>
      </c>
      <c r="FC1527" s="111">
        <v>70</v>
      </c>
    </row>
    <row r="1528" spans="1:159" s="111" customFormat="1" x14ac:dyDescent="0.25">
      <c r="A1528" s="111">
        <v>70</v>
      </c>
      <c r="B1528" s="111" t="s">
        <v>1283</v>
      </c>
      <c r="C1528" s="111" t="s">
        <v>1284</v>
      </c>
      <c r="D1528" s="111">
        <v>1996</v>
      </c>
      <c r="E1528" s="111">
        <v>1993</v>
      </c>
      <c r="F1528" s="111" t="s">
        <v>1285</v>
      </c>
      <c r="G1528" s="111" t="s">
        <v>1286</v>
      </c>
      <c r="H1528" s="111">
        <v>36.69</v>
      </c>
      <c r="I1528" s="111">
        <v>-121.64</v>
      </c>
      <c r="J1528" s="111">
        <v>11.5</v>
      </c>
      <c r="P1528" s="112" t="s">
        <v>179</v>
      </c>
      <c r="Q1528" s="112" t="s">
        <v>1057</v>
      </c>
      <c r="R1528" s="112"/>
      <c r="S1528" s="57" t="s">
        <v>1660</v>
      </c>
      <c r="T1528" s="57" t="s">
        <v>1660</v>
      </c>
      <c r="U1528" s="111">
        <v>1.46</v>
      </c>
      <c r="V1528" s="111">
        <v>69</v>
      </c>
      <c r="W1528" s="111">
        <v>20</v>
      </c>
      <c r="X1528" s="111" t="s">
        <v>175</v>
      </c>
      <c r="Y1528" s="111">
        <v>7.7</v>
      </c>
      <c r="Z1528" s="111">
        <v>0.62</v>
      </c>
      <c r="AB1528" s="38" t="s">
        <v>1591</v>
      </c>
      <c r="AC1528" s="111" t="s">
        <v>1287</v>
      </c>
      <c r="AD1528" s="153" t="str">
        <f t="shared" si="270"/>
        <v>Phacelia</v>
      </c>
      <c r="AE1528" s="111" t="s">
        <v>768</v>
      </c>
      <c r="AP1528" s="111" t="s">
        <v>154</v>
      </c>
      <c r="AQ1528" s="111">
        <v>3</v>
      </c>
      <c r="AR1528" s="111">
        <v>3</v>
      </c>
      <c r="AS1528" s="111" t="s">
        <v>177</v>
      </c>
      <c r="AU1528" s="111">
        <v>1962</v>
      </c>
      <c r="AV1528" s="111">
        <f>AU1528/69</f>
        <v>28.434782608695652</v>
      </c>
      <c r="BK1528" s="111">
        <v>57.76</v>
      </c>
      <c r="BL1528" s="111">
        <v>23.09</v>
      </c>
      <c r="BM1528" s="38" t="s">
        <v>1294</v>
      </c>
      <c r="DG1528" s="111">
        <v>7.15</v>
      </c>
      <c r="DH1528" s="111">
        <v>7.97</v>
      </c>
      <c r="DM1528" s="111">
        <v>15.1</v>
      </c>
      <c r="DN1528" s="111">
        <v>7.63</v>
      </c>
      <c r="DO1528" s="38" t="s">
        <v>1299</v>
      </c>
      <c r="DP1528" s="111">
        <v>46.96</v>
      </c>
      <c r="DQ1528" s="111">
        <v>75.45</v>
      </c>
      <c r="DR1528" s="38" t="s">
        <v>1300</v>
      </c>
      <c r="DY1528" s="111">
        <v>7.05</v>
      </c>
      <c r="DZ1528" s="111">
        <v>4.3</v>
      </c>
      <c r="EQ1528" s="111">
        <v>117.26</v>
      </c>
      <c r="ER1528" s="111">
        <v>244.18</v>
      </c>
      <c r="ES1528" s="111">
        <v>6.37</v>
      </c>
      <c r="ET1528" s="111">
        <v>15.97</v>
      </c>
      <c r="FA1528" s="111" t="s">
        <v>1296</v>
      </c>
      <c r="FB1528" s="38" t="s">
        <v>1297</v>
      </c>
      <c r="FC1528" s="111">
        <v>70</v>
      </c>
    </row>
    <row r="1529" spans="1:159" s="111" customFormat="1" x14ac:dyDescent="0.25">
      <c r="A1529" s="111">
        <v>70</v>
      </c>
      <c r="B1529" s="111" t="s">
        <v>1283</v>
      </c>
      <c r="C1529" s="111" t="s">
        <v>1284</v>
      </c>
      <c r="D1529" s="111">
        <v>1996</v>
      </c>
      <c r="E1529" s="111">
        <v>1993</v>
      </c>
      <c r="F1529" s="111" t="s">
        <v>1285</v>
      </c>
      <c r="G1529" s="111" t="s">
        <v>1286</v>
      </c>
      <c r="H1529" s="111">
        <v>36.69</v>
      </c>
      <c r="I1529" s="111">
        <v>-121.64</v>
      </c>
      <c r="J1529" s="111">
        <v>11.5</v>
      </c>
      <c r="P1529" s="112" t="s">
        <v>179</v>
      </c>
      <c r="Q1529" s="112" t="s">
        <v>1057</v>
      </c>
      <c r="R1529" s="112"/>
      <c r="S1529" s="57" t="s">
        <v>1660</v>
      </c>
      <c r="T1529" s="57" t="s">
        <v>1660</v>
      </c>
      <c r="U1529" s="111">
        <v>1.46</v>
      </c>
      <c r="V1529" s="111">
        <v>69</v>
      </c>
      <c r="W1529" s="111">
        <v>20</v>
      </c>
      <c r="X1529" s="111" t="s">
        <v>175</v>
      </c>
      <c r="Y1529" s="111">
        <v>7.7</v>
      </c>
      <c r="Z1529" s="111">
        <v>0.62</v>
      </c>
      <c r="AB1529" s="38" t="s">
        <v>1591</v>
      </c>
      <c r="AC1529" s="111" t="s">
        <v>1287</v>
      </c>
      <c r="AD1529" s="153" t="str">
        <f t="shared" si="270"/>
        <v>Phacelia</v>
      </c>
      <c r="AE1529" s="111" t="s">
        <v>768</v>
      </c>
      <c r="AP1529" s="111" t="s">
        <v>154</v>
      </c>
      <c r="AQ1529" s="111">
        <v>3</v>
      </c>
      <c r="AR1529" s="111">
        <v>3</v>
      </c>
      <c r="AS1529" s="111" t="s">
        <v>177</v>
      </c>
      <c r="AU1529" s="111">
        <v>3640</v>
      </c>
      <c r="AV1529" s="111">
        <f>AU1529/106</f>
        <v>34.339622641509436</v>
      </c>
      <c r="BK1529" s="111">
        <v>70.599999999999994</v>
      </c>
      <c r="BL1529" s="111">
        <v>70.31</v>
      </c>
      <c r="BM1529" s="38" t="s">
        <v>1294</v>
      </c>
      <c r="DG1529" s="111">
        <v>5.56</v>
      </c>
      <c r="DH1529" s="111">
        <v>5.78</v>
      </c>
      <c r="DM1529" s="111">
        <v>8.41</v>
      </c>
      <c r="DN1529" s="111">
        <v>7.1</v>
      </c>
      <c r="DO1529" s="38" t="s">
        <v>1299</v>
      </c>
      <c r="DP1529" s="111">
        <v>42.08</v>
      </c>
      <c r="DQ1529" s="111">
        <v>33.54</v>
      </c>
      <c r="DR1529" s="38" t="s">
        <v>1300</v>
      </c>
      <c r="DY1529" s="111">
        <v>3.86</v>
      </c>
      <c r="DZ1529" s="111">
        <v>3.86</v>
      </c>
      <c r="EQ1529" s="111">
        <v>119.25</v>
      </c>
      <c r="ER1529" s="111">
        <v>190.9</v>
      </c>
      <c r="ES1529" s="111">
        <v>11.22</v>
      </c>
      <c r="ET1529" s="111">
        <v>12.94</v>
      </c>
      <c r="FA1529" s="111" t="s">
        <v>929</v>
      </c>
      <c r="FB1529" s="38" t="s">
        <v>1297</v>
      </c>
      <c r="FC1529" s="111">
        <v>70</v>
      </c>
    </row>
    <row r="1530" spans="1:159" s="31" customFormat="1" x14ac:dyDescent="0.25">
      <c r="A1530" s="31">
        <v>70</v>
      </c>
      <c r="B1530" s="31" t="s">
        <v>1283</v>
      </c>
      <c r="C1530" s="31" t="s">
        <v>1284</v>
      </c>
      <c r="D1530" s="31">
        <v>1996</v>
      </c>
      <c r="E1530" s="31">
        <v>1992</v>
      </c>
      <c r="F1530" s="31" t="s">
        <v>1285</v>
      </c>
      <c r="G1530" s="31" t="s">
        <v>1286</v>
      </c>
      <c r="H1530" s="31">
        <v>36.69</v>
      </c>
      <c r="I1530" s="31">
        <v>-121.64</v>
      </c>
      <c r="J1530" s="31">
        <v>11.5</v>
      </c>
      <c r="P1530" s="56" t="s">
        <v>179</v>
      </c>
      <c r="Q1530" s="56" t="s">
        <v>1057</v>
      </c>
      <c r="R1530" s="56" t="s">
        <v>1288</v>
      </c>
      <c r="S1530" s="56" t="s">
        <v>1660</v>
      </c>
      <c r="T1530" s="56" t="s">
        <v>1660</v>
      </c>
      <c r="U1530" s="31">
        <v>1.46</v>
      </c>
      <c r="V1530" s="31">
        <v>69</v>
      </c>
      <c r="W1530" s="31">
        <v>20</v>
      </c>
      <c r="X1530" s="31" t="s">
        <v>175</v>
      </c>
      <c r="Y1530" s="31">
        <v>7.7</v>
      </c>
      <c r="Z1530" s="31">
        <v>0.62</v>
      </c>
      <c r="AB1530" s="31" t="s">
        <v>1591</v>
      </c>
      <c r="AC1530" s="31" t="s">
        <v>166</v>
      </c>
      <c r="AD1530" s="153" t="str">
        <f t="shared" si="270"/>
        <v>Rye</v>
      </c>
      <c r="AE1530" s="31" t="s">
        <v>768</v>
      </c>
      <c r="AP1530" s="31" t="s">
        <v>154</v>
      </c>
      <c r="AQ1530" s="31">
        <v>3</v>
      </c>
      <c r="AR1530" s="31">
        <v>3</v>
      </c>
      <c r="AS1530" s="31" t="s">
        <v>177</v>
      </c>
      <c r="AU1530" s="31">
        <v>8.1</v>
      </c>
      <c r="AV1530" s="31">
        <f>AU1530/0.5</f>
        <v>16.2</v>
      </c>
      <c r="BB1530" s="31">
        <v>3</v>
      </c>
      <c r="BC1530" s="31">
        <v>4</v>
      </c>
      <c r="BK1530" s="31">
        <v>67.489999999999995</v>
      </c>
      <c r="BL1530" s="31">
        <v>35.72</v>
      </c>
      <c r="BM1530" s="31" t="s">
        <v>1294</v>
      </c>
      <c r="DG1530" s="31">
        <v>4.82</v>
      </c>
      <c r="DH1530" s="31">
        <v>6.39</v>
      </c>
      <c r="DM1530" s="31">
        <v>0.75</v>
      </c>
      <c r="DN1530" s="31">
        <v>6.06</v>
      </c>
      <c r="DO1530" s="31" t="s">
        <v>1299</v>
      </c>
      <c r="DP1530" s="31">
        <v>1.38</v>
      </c>
      <c r="DQ1530" s="31">
        <v>4.2300000000000004</v>
      </c>
      <c r="DR1530" s="31" t="s">
        <v>1300</v>
      </c>
      <c r="DY1530" s="31">
        <v>6.56</v>
      </c>
      <c r="DZ1530" s="31">
        <v>7.72</v>
      </c>
      <c r="EQ1530" s="31">
        <v>86.95</v>
      </c>
      <c r="ER1530" s="31">
        <v>86.95</v>
      </c>
      <c r="ES1530" s="31">
        <v>10.52</v>
      </c>
      <c r="ET1530" s="31">
        <v>10.52</v>
      </c>
      <c r="FA1530" s="31" t="s">
        <v>929</v>
      </c>
      <c r="FB1530" s="31" t="s">
        <v>1297</v>
      </c>
      <c r="FC1530" s="31">
        <v>70</v>
      </c>
    </row>
    <row r="1531" spans="1:159" s="31" customFormat="1" x14ac:dyDescent="0.25">
      <c r="A1531" s="31">
        <v>70</v>
      </c>
      <c r="B1531" s="31" t="s">
        <v>1283</v>
      </c>
      <c r="C1531" s="31" t="s">
        <v>1284</v>
      </c>
      <c r="D1531" s="31">
        <v>1996</v>
      </c>
      <c r="E1531" s="31">
        <v>1992</v>
      </c>
      <c r="F1531" s="31" t="s">
        <v>1285</v>
      </c>
      <c r="G1531" s="31" t="s">
        <v>1286</v>
      </c>
      <c r="H1531" s="31">
        <v>36.69</v>
      </c>
      <c r="I1531" s="31">
        <v>-121.64</v>
      </c>
      <c r="J1531" s="31">
        <v>11.5</v>
      </c>
      <c r="P1531" s="56" t="s">
        <v>179</v>
      </c>
      <c r="Q1531" s="56" t="s">
        <v>1057</v>
      </c>
      <c r="R1531" s="56" t="s">
        <v>1289</v>
      </c>
      <c r="S1531" s="56" t="s">
        <v>1660</v>
      </c>
      <c r="T1531" s="56" t="s">
        <v>1660</v>
      </c>
      <c r="U1531" s="31">
        <v>1.46</v>
      </c>
      <c r="V1531" s="31">
        <v>69</v>
      </c>
      <c r="W1531" s="31">
        <v>20</v>
      </c>
      <c r="X1531" s="31" t="s">
        <v>175</v>
      </c>
      <c r="Y1531" s="31">
        <v>7.7</v>
      </c>
      <c r="Z1531" s="31">
        <v>0.62</v>
      </c>
      <c r="AB1531" s="31" t="s">
        <v>1591</v>
      </c>
      <c r="AC1531" s="31" t="s">
        <v>166</v>
      </c>
      <c r="AD1531" s="153" t="str">
        <f t="shared" si="270"/>
        <v>Rye</v>
      </c>
      <c r="AE1531" s="31" t="s">
        <v>768</v>
      </c>
      <c r="AP1531" s="31" t="s">
        <v>154</v>
      </c>
      <c r="AQ1531" s="31">
        <v>3</v>
      </c>
      <c r="AR1531" s="31">
        <v>3</v>
      </c>
      <c r="AS1531" s="31" t="s">
        <v>177</v>
      </c>
      <c r="AU1531" s="31">
        <v>347</v>
      </c>
      <c r="AV1531" s="31">
        <f>AU1531/21</f>
        <v>16.523809523809526</v>
      </c>
      <c r="BB1531" s="31">
        <v>123</v>
      </c>
      <c r="BC1531" s="31">
        <v>115</v>
      </c>
      <c r="BK1531" s="31">
        <v>80.33</v>
      </c>
      <c r="BL1531" s="31">
        <v>84.17</v>
      </c>
      <c r="BM1531" s="31" t="s">
        <v>1294</v>
      </c>
      <c r="DG1531" s="31">
        <v>11.17</v>
      </c>
      <c r="DH1531" s="31">
        <v>12.06</v>
      </c>
      <c r="DM1531" s="31">
        <v>5.86</v>
      </c>
      <c r="DN1531" s="31">
        <v>1.4</v>
      </c>
      <c r="DO1531" s="31" t="s">
        <v>1299</v>
      </c>
      <c r="DP1531" s="31">
        <v>10.8</v>
      </c>
      <c r="DQ1531" s="31">
        <v>9.86</v>
      </c>
      <c r="DR1531" s="31" t="s">
        <v>1300</v>
      </c>
      <c r="DY1531" s="31">
        <v>12.79</v>
      </c>
      <c r="DZ1531" s="31">
        <v>8.59</v>
      </c>
      <c r="EQ1531" s="31">
        <v>203.57</v>
      </c>
      <c r="ER1531" s="31">
        <v>154.43</v>
      </c>
      <c r="ES1531" s="31">
        <v>19.37</v>
      </c>
      <c r="ET1531" s="31">
        <v>19.23</v>
      </c>
      <c r="FA1531" s="31" t="s">
        <v>1077</v>
      </c>
      <c r="FB1531" s="31" t="s">
        <v>1297</v>
      </c>
      <c r="FC1531" s="31">
        <v>70</v>
      </c>
    </row>
    <row r="1532" spans="1:159" s="31" customFormat="1" x14ac:dyDescent="0.25">
      <c r="A1532" s="31">
        <v>70</v>
      </c>
      <c r="B1532" s="31" t="s">
        <v>1283</v>
      </c>
      <c r="C1532" s="31" t="s">
        <v>1284</v>
      </c>
      <c r="D1532" s="31">
        <v>1996</v>
      </c>
      <c r="E1532" s="31">
        <v>1993</v>
      </c>
      <c r="F1532" s="31" t="s">
        <v>1285</v>
      </c>
      <c r="G1532" s="31" t="s">
        <v>1286</v>
      </c>
      <c r="H1532" s="31">
        <v>36.69</v>
      </c>
      <c r="I1532" s="31">
        <v>-121.64</v>
      </c>
      <c r="J1532" s="31">
        <v>11.5</v>
      </c>
      <c r="P1532" s="56" t="s">
        <v>179</v>
      </c>
      <c r="Q1532" s="56" t="s">
        <v>1057</v>
      </c>
      <c r="R1532" s="56" t="s">
        <v>1290</v>
      </c>
      <c r="S1532" s="56" t="s">
        <v>1660</v>
      </c>
      <c r="T1532" s="56" t="s">
        <v>1660</v>
      </c>
      <c r="U1532" s="31">
        <v>1.46</v>
      </c>
      <c r="V1532" s="31">
        <v>69</v>
      </c>
      <c r="W1532" s="31">
        <v>20</v>
      </c>
      <c r="X1532" s="31" t="s">
        <v>175</v>
      </c>
      <c r="Y1532" s="31">
        <v>7.7</v>
      </c>
      <c r="Z1532" s="31">
        <v>0.62</v>
      </c>
      <c r="AB1532" s="31" t="s">
        <v>1591</v>
      </c>
      <c r="AC1532" s="31" t="s">
        <v>166</v>
      </c>
      <c r="AD1532" s="153" t="str">
        <f t="shared" si="270"/>
        <v>Rye</v>
      </c>
      <c r="AE1532" s="31" t="s">
        <v>768</v>
      </c>
      <c r="AP1532" s="31" t="s">
        <v>154</v>
      </c>
      <c r="AQ1532" s="31">
        <v>3</v>
      </c>
      <c r="AR1532" s="31">
        <v>3</v>
      </c>
      <c r="AS1532" s="31" t="s">
        <v>177</v>
      </c>
      <c r="AU1532" s="31">
        <v>1399</v>
      </c>
      <c r="AV1532" s="31">
        <f>AU1532/59</f>
        <v>23.711864406779661</v>
      </c>
      <c r="BB1532" s="31">
        <v>1285</v>
      </c>
      <c r="BC1532" s="31">
        <v>1215</v>
      </c>
      <c r="BK1532" s="31">
        <v>42.55</v>
      </c>
      <c r="BL1532" s="31">
        <v>38.950000000000003</v>
      </c>
      <c r="BM1532" s="31" t="s">
        <v>1294</v>
      </c>
      <c r="DG1532" s="31">
        <v>8.9</v>
      </c>
      <c r="DH1532" s="31">
        <v>7.34</v>
      </c>
      <c r="DM1532" s="31">
        <v>0.74</v>
      </c>
      <c r="DN1532" s="31">
        <v>0.74</v>
      </c>
      <c r="DO1532" s="31" t="s">
        <v>1299</v>
      </c>
      <c r="DP1532" s="31">
        <v>9.8000000000000007</v>
      </c>
      <c r="DQ1532" s="31">
        <v>47.8</v>
      </c>
      <c r="DR1532" s="31" t="s">
        <v>1300</v>
      </c>
      <c r="DY1532" s="31">
        <v>6.56</v>
      </c>
      <c r="DZ1532" s="31">
        <v>9.5299999999999994</v>
      </c>
      <c r="EQ1532" s="31">
        <v>189.18</v>
      </c>
      <c r="ER1532" s="31">
        <v>299.72000000000003</v>
      </c>
      <c r="ES1532" s="31">
        <v>10.18</v>
      </c>
      <c r="ET1532" s="31">
        <v>12.76</v>
      </c>
      <c r="FA1532" s="31" t="s">
        <v>1199</v>
      </c>
      <c r="FB1532" s="31" t="s">
        <v>1297</v>
      </c>
      <c r="FC1532" s="31">
        <v>70</v>
      </c>
    </row>
    <row r="1533" spans="1:159" s="31" customFormat="1" x14ac:dyDescent="0.25">
      <c r="A1533" s="31">
        <v>70</v>
      </c>
      <c r="B1533" s="31" t="s">
        <v>1283</v>
      </c>
      <c r="C1533" s="31" t="s">
        <v>1284</v>
      </c>
      <c r="D1533" s="31">
        <v>1996</v>
      </c>
      <c r="E1533" s="31">
        <v>1993</v>
      </c>
      <c r="F1533" s="31" t="s">
        <v>1285</v>
      </c>
      <c r="G1533" s="31" t="s">
        <v>1286</v>
      </c>
      <c r="H1533" s="31">
        <v>36.69</v>
      </c>
      <c r="I1533" s="31">
        <v>-121.64</v>
      </c>
      <c r="J1533" s="31">
        <v>11.5</v>
      </c>
      <c r="P1533" s="56" t="s">
        <v>179</v>
      </c>
      <c r="Q1533" s="56" t="s">
        <v>1057</v>
      </c>
      <c r="R1533" s="56" t="s">
        <v>1291</v>
      </c>
      <c r="S1533" s="56" t="s">
        <v>1660</v>
      </c>
      <c r="T1533" s="56" t="s">
        <v>1660</v>
      </c>
      <c r="U1533" s="31">
        <v>1.46</v>
      </c>
      <c r="V1533" s="31">
        <v>69</v>
      </c>
      <c r="W1533" s="31">
        <v>20</v>
      </c>
      <c r="X1533" s="31" t="s">
        <v>175</v>
      </c>
      <c r="Y1533" s="31">
        <v>7.7</v>
      </c>
      <c r="Z1533" s="31">
        <v>0.62</v>
      </c>
      <c r="AB1533" s="31" t="s">
        <v>1591</v>
      </c>
      <c r="AC1533" s="31" t="s">
        <v>166</v>
      </c>
      <c r="AD1533" s="153" t="str">
        <f t="shared" si="270"/>
        <v>Rye</v>
      </c>
      <c r="AE1533" s="31" t="s">
        <v>768</v>
      </c>
      <c r="AP1533" s="31" t="s">
        <v>154</v>
      </c>
      <c r="AQ1533" s="31">
        <v>3</v>
      </c>
      <c r="AR1533" s="31">
        <v>3</v>
      </c>
      <c r="AS1533" s="31" t="s">
        <v>177</v>
      </c>
      <c r="AU1533" s="31">
        <v>2151</v>
      </c>
      <c r="AV1533" s="31">
        <f>AU1533/78</f>
        <v>27.576923076923077</v>
      </c>
      <c r="BB1533" s="31">
        <v>5821</v>
      </c>
      <c r="BC1533" s="31">
        <v>5902</v>
      </c>
      <c r="BK1533" s="31">
        <v>18.420000000000002</v>
      </c>
      <c r="BL1533" s="31">
        <v>1.34</v>
      </c>
      <c r="BM1533" s="31" t="s">
        <v>1294</v>
      </c>
      <c r="DG1533" s="31">
        <v>8.3699999999999992</v>
      </c>
      <c r="DH1533" s="31">
        <v>6.13</v>
      </c>
      <c r="DM1533" s="31">
        <v>3.62</v>
      </c>
      <c r="DN1533" s="31">
        <v>6.9</v>
      </c>
      <c r="DO1533" s="31" t="s">
        <v>1299</v>
      </c>
      <c r="DP1533" s="31">
        <v>22.13</v>
      </c>
      <c r="DQ1533" s="31">
        <v>56.3</v>
      </c>
      <c r="DR1533" s="31" t="s">
        <v>1300</v>
      </c>
      <c r="DY1533" s="31">
        <v>7.56</v>
      </c>
      <c r="DZ1533" s="31">
        <v>7.57</v>
      </c>
      <c r="EQ1533" s="31">
        <v>275.08999999999997</v>
      </c>
      <c r="ER1533" s="31">
        <v>150.22</v>
      </c>
      <c r="ES1533" s="31">
        <v>15.46</v>
      </c>
      <c r="ET1533" s="31">
        <v>19.62</v>
      </c>
      <c r="FA1533" s="31" t="s">
        <v>1200</v>
      </c>
      <c r="FB1533" s="31" t="s">
        <v>1297</v>
      </c>
      <c r="FC1533" s="31">
        <v>70</v>
      </c>
    </row>
    <row r="1534" spans="1:159" s="31" customFormat="1" x14ac:dyDescent="0.25">
      <c r="A1534" s="31">
        <v>70</v>
      </c>
      <c r="B1534" s="31" t="s">
        <v>1283</v>
      </c>
      <c r="C1534" s="31" t="s">
        <v>1284</v>
      </c>
      <c r="D1534" s="31">
        <v>1996</v>
      </c>
      <c r="E1534" s="31">
        <v>1993</v>
      </c>
      <c r="F1534" s="31" t="s">
        <v>1285</v>
      </c>
      <c r="G1534" s="31" t="s">
        <v>1286</v>
      </c>
      <c r="H1534" s="31">
        <v>36.69</v>
      </c>
      <c r="I1534" s="31">
        <v>-121.64</v>
      </c>
      <c r="J1534" s="31">
        <v>11.5</v>
      </c>
      <c r="P1534" s="56" t="s">
        <v>179</v>
      </c>
      <c r="Q1534" s="56" t="s">
        <v>1057</v>
      </c>
      <c r="R1534" s="56" t="s">
        <v>1292</v>
      </c>
      <c r="S1534" s="56" t="s">
        <v>1660</v>
      </c>
      <c r="T1534" s="56" t="s">
        <v>1660</v>
      </c>
      <c r="U1534" s="31">
        <v>1.46</v>
      </c>
      <c r="V1534" s="31">
        <v>69</v>
      </c>
      <c r="W1534" s="31">
        <v>20</v>
      </c>
      <c r="X1534" s="31" t="s">
        <v>175</v>
      </c>
      <c r="Y1534" s="31">
        <v>7.7</v>
      </c>
      <c r="Z1534" s="31">
        <v>0.62</v>
      </c>
      <c r="AB1534" s="31" t="s">
        <v>1591</v>
      </c>
      <c r="AC1534" s="31" t="s">
        <v>166</v>
      </c>
      <c r="AD1534" s="153" t="str">
        <f t="shared" si="270"/>
        <v>Rye</v>
      </c>
      <c r="AE1534" s="31" t="s">
        <v>768</v>
      </c>
      <c r="AP1534" s="31" t="s">
        <v>154</v>
      </c>
      <c r="AQ1534" s="31">
        <v>3</v>
      </c>
      <c r="AR1534" s="31">
        <v>3</v>
      </c>
      <c r="AS1534" s="31" t="s">
        <v>177</v>
      </c>
      <c r="AU1534" s="31">
        <v>3727</v>
      </c>
      <c r="AV1534" s="31">
        <f>AU1534/136</f>
        <v>27.404411764705884</v>
      </c>
      <c r="BB1534" s="31">
        <v>8303</v>
      </c>
      <c r="BC1534" s="31">
        <v>8672</v>
      </c>
      <c r="BK1534" s="31">
        <v>15.37</v>
      </c>
      <c r="BL1534" s="31">
        <v>7.27</v>
      </c>
      <c r="BM1534" s="31" t="s">
        <v>1294</v>
      </c>
      <c r="DG1534" s="31">
        <v>7.55</v>
      </c>
      <c r="DH1534" s="31">
        <v>5.75</v>
      </c>
      <c r="DM1534" s="31">
        <v>3.42</v>
      </c>
      <c r="DN1534" s="31">
        <v>9.4499999999999993</v>
      </c>
      <c r="DO1534" s="31" t="s">
        <v>1299</v>
      </c>
      <c r="DP1534" s="31">
        <v>8.8000000000000007</v>
      </c>
      <c r="DQ1534" s="31">
        <v>14.5</v>
      </c>
      <c r="DR1534" s="31" t="s">
        <v>1300</v>
      </c>
      <c r="DY1534" s="31">
        <v>4.8</v>
      </c>
      <c r="DZ1534" s="31">
        <v>7.64</v>
      </c>
      <c r="EQ1534" s="31">
        <v>152.24</v>
      </c>
      <c r="ER1534" s="31">
        <v>273.02</v>
      </c>
      <c r="ES1534" s="31">
        <v>4.99</v>
      </c>
      <c r="ET1534" s="31">
        <v>10.3</v>
      </c>
      <c r="FA1534" s="31" t="s">
        <v>928</v>
      </c>
      <c r="FB1534" s="31" t="s">
        <v>1297</v>
      </c>
      <c r="FC1534" s="31">
        <v>70</v>
      </c>
    </row>
    <row r="1535" spans="1:159" s="109" customFormat="1" x14ac:dyDescent="0.25">
      <c r="A1535" s="109">
        <v>70</v>
      </c>
      <c r="B1535" s="109" t="s">
        <v>1283</v>
      </c>
      <c r="C1535" s="109" t="s">
        <v>1284</v>
      </c>
      <c r="D1535" s="109">
        <v>1996</v>
      </c>
      <c r="E1535" s="109">
        <v>1992</v>
      </c>
      <c r="F1535" s="109" t="s">
        <v>1285</v>
      </c>
      <c r="G1535" s="109" t="s">
        <v>1286</v>
      </c>
      <c r="H1535" s="109">
        <v>36.69</v>
      </c>
      <c r="I1535" s="109">
        <v>-121.64</v>
      </c>
      <c r="J1535" s="109">
        <v>11.5</v>
      </c>
      <c r="P1535" s="110" t="s">
        <v>179</v>
      </c>
      <c r="Q1535" s="110" t="s">
        <v>1057</v>
      </c>
      <c r="R1535" s="110"/>
      <c r="S1535" s="110" t="s">
        <v>1660</v>
      </c>
      <c r="T1535" s="110" t="s">
        <v>1660</v>
      </c>
      <c r="U1535" s="109">
        <v>1.46</v>
      </c>
      <c r="V1535" s="109">
        <v>69</v>
      </c>
      <c r="W1535" s="109">
        <v>20</v>
      </c>
      <c r="X1535" s="109" t="s">
        <v>175</v>
      </c>
      <c r="Y1535" s="109">
        <v>7.7</v>
      </c>
      <c r="Z1535" s="109">
        <v>0.62</v>
      </c>
      <c r="AB1535" s="109" t="s">
        <v>1591</v>
      </c>
      <c r="AC1535" s="109" t="s">
        <v>166</v>
      </c>
      <c r="AD1535" s="153" t="str">
        <f t="shared" si="270"/>
        <v>Rye</v>
      </c>
      <c r="AE1535" s="109" t="s">
        <v>768</v>
      </c>
      <c r="AP1535" s="109" t="s">
        <v>154</v>
      </c>
      <c r="AQ1535" s="109">
        <v>3</v>
      </c>
      <c r="AR1535" s="109">
        <v>3</v>
      </c>
      <c r="AS1535" s="109" t="s">
        <v>177</v>
      </c>
      <c r="AU1535" s="109">
        <v>8.1</v>
      </c>
      <c r="AV1535" s="109">
        <f>AU1535/0.5</f>
        <v>16.2</v>
      </c>
      <c r="BK1535" s="109">
        <v>20.61</v>
      </c>
      <c r="BL1535" s="109">
        <v>10.96</v>
      </c>
      <c r="BM1535" s="109" t="s">
        <v>1294</v>
      </c>
      <c r="DG1535" s="109">
        <v>11.36</v>
      </c>
      <c r="DH1535" s="109">
        <v>11.36</v>
      </c>
      <c r="DM1535" s="109">
        <v>0.65</v>
      </c>
      <c r="DN1535" s="109">
        <v>0.52</v>
      </c>
      <c r="DO1535" s="109" t="s">
        <v>1299</v>
      </c>
      <c r="DP1535" s="109">
        <v>2.82</v>
      </c>
      <c r="DQ1535" s="109">
        <v>2.8</v>
      </c>
      <c r="DR1535" s="109" t="s">
        <v>1300</v>
      </c>
      <c r="DY1535" s="109">
        <v>6.19</v>
      </c>
      <c r="DZ1535" s="109">
        <v>11.77</v>
      </c>
      <c r="EQ1535" s="109">
        <v>74.430000000000007</v>
      </c>
      <c r="ER1535" s="109">
        <v>146.09</v>
      </c>
      <c r="ES1535" s="109">
        <v>12.3</v>
      </c>
      <c r="ET1535" s="109">
        <v>18.32</v>
      </c>
      <c r="FA1535" s="109" t="s">
        <v>257</v>
      </c>
      <c r="FB1535" s="109" t="s">
        <v>1297</v>
      </c>
      <c r="FC1535" s="109">
        <v>70</v>
      </c>
    </row>
    <row r="1536" spans="1:159" s="109" customFormat="1" x14ac:dyDescent="0.25">
      <c r="A1536" s="109">
        <v>70</v>
      </c>
      <c r="B1536" s="109" t="s">
        <v>1283</v>
      </c>
      <c r="C1536" s="109" t="s">
        <v>1284</v>
      </c>
      <c r="D1536" s="109">
        <v>1996</v>
      </c>
      <c r="E1536" s="109">
        <v>1992</v>
      </c>
      <c r="F1536" s="109" t="s">
        <v>1285</v>
      </c>
      <c r="G1536" s="109" t="s">
        <v>1286</v>
      </c>
      <c r="H1536" s="109">
        <v>36.69</v>
      </c>
      <c r="I1536" s="109">
        <v>-121.64</v>
      </c>
      <c r="J1536" s="109">
        <v>11.5</v>
      </c>
      <c r="P1536" s="110" t="s">
        <v>179</v>
      </c>
      <c r="Q1536" s="110" t="s">
        <v>1057</v>
      </c>
      <c r="R1536" s="110"/>
      <c r="S1536" s="110" t="s">
        <v>1660</v>
      </c>
      <c r="T1536" s="110" t="s">
        <v>1660</v>
      </c>
      <c r="U1536" s="109">
        <v>1.46</v>
      </c>
      <c r="V1536" s="109">
        <v>69</v>
      </c>
      <c r="W1536" s="109">
        <v>20</v>
      </c>
      <c r="X1536" s="109" t="s">
        <v>175</v>
      </c>
      <c r="Y1536" s="109">
        <v>7.7</v>
      </c>
      <c r="Z1536" s="109">
        <v>0.62</v>
      </c>
      <c r="AB1536" s="109" t="s">
        <v>1591</v>
      </c>
      <c r="AC1536" s="109" t="s">
        <v>166</v>
      </c>
      <c r="AD1536" s="153" t="str">
        <f t="shared" si="270"/>
        <v>Rye</v>
      </c>
      <c r="AE1536" s="109" t="s">
        <v>768</v>
      </c>
      <c r="AP1536" s="109" t="s">
        <v>154</v>
      </c>
      <c r="AQ1536" s="109">
        <v>3</v>
      </c>
      <c r="AR1536" s="109">
        <v>3</v>
      </c>
      <c r="AS1536" s="109" t="s">
        <v>177</v>
      </c>
      <c r="AU1536" s="109">
        <v>347</v>
      </c>
      <c r="AV1536" s="109">
        <f>AU1536/21</f>
        <v>16.523809523809526</v>
      </c>
      <c r="BK1536" s="109">
        <v>22.56</v>
      </c>
      <c r="BL1536" s="109">
        <v>25.01</v>
      </c>
      <c r="BM1536" s="109" t="s">
        <v>1294</v>
      </c>
      <c r="DG1536" s="109">
        <v>9.19</v>
      </c>
      <c r="DH1536" s="109">
        <v>8.89</v>
      </c>
      <c r="DM1536" s="109">
        <v>1.43</v>
      </c>
      <c r="DN1536" s="109">
        <v>2.41</v>
      </c>
      <c r="DO1536" s="109" t="s">
        <v>1299</v>
      </c>
      <c r="DP1536" s="109">
        <v>29.28</v>
      </c>
      <c r="DQ1536" s="109">
        <v>23.58</v>
      </c>
      <c r="DR1536" s="109" t="s">
        <v>1300</v>
      </c>
      <c r="DY1536" s="109">
        <v>3.22</v>
      </c>
      <c r="DZ1536" s="109">
        <v>7.06</v>
      </c>
      <c r="EQ1536" s="109">
        <v>103.08</v>
      </c>
      <c r="ER1536" s="109">
        <v>176.78</v>
      </c>
      <c r="ES1536" s="109">
        <v>4.41</v>
      </c>
      <c r="ET1536" s="109">
        <v>10.85</v>
      </c>
      <c r="FA1536" s="109" t="s">
        <v>1078</v>
      </c>
      <c r="FB1536" s="109" t="s">
        <v>1297</v>
      </c>
      <c r="FC1536" s="109">
        <v>70</v>
      </c>
    </row>
    <row r="1537" spans="1:159" s="109" customFormat="1" x14ac:dyDescent="0.25">
      <c r="A1537" s="109">
        <v>70</v>
      </c>
      <c r="B1537" s="109" t="s">
        <v>1283</v>
      </c>
      <c r="C1537" s="109" t="s">
        <v>1284</v>
      </c>
      <c r="D1537" s="109">
        <v>1996</v>
      </c>
      <c r="E1537" s="109">
        <v>1993</v>
      </c>
      <c r="F1537" s="109" t="s">
        <v>1285</v>
      </c>
      <c r="G1537" s="109" t="s">
        <v>1286</v>
      </c>
      <c r="H1537" s="109">
        <v>36.69</v>
      </c>
      <c r="I1537" s="109">
        <v>-121.64</v>
      </c>
      <c r="J1537" s="109">
        <v>11.5</v>
      </c>
      <c r="P1537" s="110" t="s">
        <v>179</v>
      </c>
      <c r="Q1537" s="110" t="s">
        <v>1057</v>
      </c>
      <c r="R1537" s="110"/>
      <c r="S1537" s="110" t="s">
        <v>1660</v>
      </c>
      <c r="T1537" s="110" t="s">
        <v>1660</v>
      </c>
      <c r="U1537" s="109">
        <v>1.46</v>
      </c>
      <c r="V1537" s="109">
        <v>69</v>
      </c>
      <c r="W1537" s="109">
        <v>20</v>
      </c>
      <c r="X1537" s="109" t="s">
        <v>175</v>
      </c>
      <c r="Y1537" s="109">
        <v>7.7</v>
      </c>
      <c r="Z1537" s="109">
        <v>0.62</v>
      </c>
      <c r="AB1537" s="109" t="s">
        <v>1591</v>
      </c>
      <c r="AC1537" s="109" t="s">
        <v>166</v>
      </c>
      <c r="AD1537" s="153" t="str">
        <f t="shared" si="270"/>
        <v>Rye</v>
      </c>
      <c r="AE1537" s="109" t="s">
        <v>768</v>
      </c>
      <c r="AP1537" s="109" t="s">
        <v>154</v>
      </c>
      <c r="AQ1537" s="109">
        <v>3</v>
      </c>
      <c r="AR1537" s="109">
        <v>3</v>
      </c>
      <c r="AS1537" s="109" t="s">
        <v>177</v>
      </c>
      <c r="AU1537" s="109">
        <v>1399</v>
      </c>
      <c r="AV1537" s="109">
        <f>AU1537/59</f>
        <v>23.711864406779661</v>
      </c>
      <c r="BK1537" s="109">
        <v>44.05</v>
      </c>
      <c r="BL1537" s="109">
        <v>44.76</v>
      </c>
      <c r="BM1537" s="109" t="s">
        <v>1294</v>
      </c>
      <c r="DG1537" s="109">
        <v>8.2799999999999994</v>
      </c>
      <c r="DH1537" s="109">
        <v>7.76</v>
      </c>
      <c r="DM1537" s="109">
        <v>9.02</v>
      </c>
      <c r="DN1537" s="109">
        <v>6</v>
      </c>
      <c r="DO1537" s="109" t="s">
        <v>1299</v>
      </c>
      <c r="DP1537" s="109">
        <v>153.53</v>
      </c>
      <c r="DQ1537" s="109">
        <v>130.69999999999999</v>
      </c>
      <c r="DR1537" s="109" t="s">
        <v>1300</v>
      </c>
      <c r="DY1537" s="109">
        <v>5.32</v>
      </c>
      <c r="DZ1537" s="109">
        <v>6.41</v>
      </c>
      <c r="EQ1537" s="109">
        <v>49.83</v>
      </c>
      <c r="ER1537" s="109">
        <v>101.01</v>
      </c>
      <c r="ES1537" s="109">
        <v>11.14</v>
      </c>
      <c r="ET1537" s="109">
        <v>7.56</v>
      </c>
      <c r="FA1537" s="109" t="s">
        <v>1296</v>
      </c>
      <c r="FB1537" s="109" t="s">
        <v>1297</v>
      </c>
      <c r="FC1537" s="109">
        <v>70</v>
      </c>
    </row>
    <row r="1538" spans="1:159" s="109" customFormat="1" x14ac:dyDescent="0.25">
      <c r="A1538" s="109">
        <v>70</v>
      </c>
      <c r="B1538" s="109" t="s">
        <v>1283</v>
      </c>
      <c r="C1538" s="109" t="s">
        <v>1284</v>
      </c>
      <c r="D1538" s="109">
        <v>1996</v>
      </c>
      <c r="E1538" s="109">
        <v>1993</v>
      </c>
      <c r="F1538" s="109" t="s">
        <v>1285</v>
      </c>
      <c r="G1538" s="109" t="s">
        <v>1286</v>
      </c>
      <c r="H1538" s="109">
        <v>36.69</v>
      </c>
      <c r="I1538" s="109">
        <v>-121.64</v>
      </c>
      <c r="J1538" s="109">
        <v>11.5</v>
      </c>
      <c r="P1538" s="110" t="s">
        <v>179</v>
      </c>
      <c r="Q1538" s="110" t="s">
        <v>1057</v>
      </c>
      <c r="R1538" s="110"/>
      <c r="S1538" s="110" t="s">
        <v>1660</v>
      </c>
      <c r="T1538" s="110" t="s">
        <v>1660</v>
      </c>
      <c r="U1538" s="109">
        <v>1.46</v>
      </c>
      <c r="V1538" s="109">
        <v>69</v>
      </c>
      <c r="W1538" s="109">
        <v>20</v>
      </c>
      <c r="X1538" s="109" t="s">
        <v>175</v>
      </c>
      <c r="Y1538" s="109">
        <v>7.7</v>
      </c>
      <c r="Z1538" s="109">
        <v>0.62</v>
      </c>
      <c r="AB1538" s="109" t="s">
        <v>1591</v>
      </c>
      <c r="AC1538" s="109" t="s">
        <v>166</v>
      </c>
      <c r="AD1538" s="153" t="str">
        <f t="shared" si="270"/>
        <v>Rye</v>
      </c>
      <c r="AE1538" s="109" t="s">
        <v>768</v>
      </c>
      <c r="AP1538" s="109" t="s">
        <v>154</v>
      </c>
      <c r="AQ1538" s="109">
        <v>3</v>
      </c>
      <c r="AR1538" s="109">
        <v>3</v>
      </c>
      <c r="AS1538" s="109" t="s">
        <v>177</v>
      </c>
      <c r="AU1538" s="109">
        <v>2151</v>
      </c>
      <c r="AV1538" s="109">
        <f>AU1538/78</f>
        <v>27.576923076923077</v>
      </c>
      <c r="BK1538" s="109">
        <v>57.76</v>
      </c>
      <c r="BL1538" s="109">
        <v>43.79</v>
      </c>
      <c r="BM1538" s="109" t="s">
        <v>1294</v>
      </c>
      <c r="DG1538" s="109">
        <v>7.15</v>
      </c>
      <c r="DH1538" s="109">
        <v>8.1199999999999992</v>
      </c>
      <c r="DM1538" s="109">
        <v>15.1</v>
      </c>
      <c r="DN1538" s="109">
        <v>9.07</v>
      </c>
      <c r="DO1538" s="109" t="s">
        <v>1299</v>
      </c>
      <c r="DP1538" s="109">
        <v>46.96</v>
      </c>
      <c r="DQ1538" s="109">
        <v>40.31</v>
      </c>
      <c r="DR1538" s="109" t="s">
        <v>1300</v>
      </c>
      <c r="DY1538" s="109">
        <v>7.05</v>
      </c>
      <c r="DZ1538" s="109">
        <v>7.42</v>
      </c>
      <c r="EQ1538" s="109">
        <v>117.26</v>
      </c>
      <c r="ER1538" s="109">
        <v>332.21</v>
      </c>
      <c r="ES1538" s="109">
        <v>6.37</v>
      </c>
      <c r="ET1538" s="109">
        <v>12.53</v>
      </c>
      <c r="FA1538" s="109" t="s">
        <v>1296</v>
      </c>
      <c r="FB1538" s="109" t="s">
        <v>1297</v>
      </c>
      <c r="FC1538" s="109">
        <v>70</v>
      </c>
    </row>
    <row r="1539" spans="1:159" s="109" customFormat="1" x14ac:dyDescent="0.25">
      <c r="A1539" s="109">
        <v>70</v>
      </c>
      <c r="B1539" s="109" t="s">
        <v>1283</v>
      </c>
      <c r="C1539" s="109" t="s">
        <v>1284</v>
      </c>
      <c r="D1539" s="109">
        <v>1996</v>
      </c>
      <c r="E1539" s="109">
        <v>1993</v>
      </c>
      <c r="F1539" s="109" t="s">
        <v>1285</v>
      </c>
      <c r="G1539" s="109" t="s">
        <v>1286</v>
      </c>
      <c r="H1539" s="109">
        <v>36.69</v>
      </c>
      <c r="I1539" s="109">
        <v>-121.64</v>
      </c>
      <c r="J1539" s="109">
        <v>11.5</v>
      </c>
      <c r="P1539" s="110" t="s">
        <v>179</v>
      </c>
      <c r="Q1539" s="110" t="s">
        <v>1057</v>
      </c>
      <c r="R1539" s="110"/>
      <c r="S1539" s="110" t="s">
        <v>1660</v>
      </c>
      <c r="T1539" s="110" t="s">
        <v>1660</v>
      </c>
      <c r="U1539" s="109">
        <v>1.46</v>
      </c>
      <c r="V1539" s="109">
        <v>69</v>
      </c>
      <c r="W1539" s="109">
        <v>20</v>
      </c>
      <c r="X1539" s="109" t="s">
        <v>175</v>
      </c>
      <c r="Y1539" s="109">
        <v>7.7</v>
      </c>
      <c r="Z1539" s="109">
        <v>0.62</v>
      </c>
      <c r="AB1539" s="109" t="s">
        <v>1591</v>
      </c>
      <c r="AC1539" s="109" t="s">
        <v>166</v>
      </c>
      <c r="AD1539" s="153" t="str">
        <f t="shared" ref="AD1539:AD1602" si="280">IF(OR(AC1539="*Rye",AC1539="Rye*",AC1539="Downy_brome"),"Rye",IF(OR(AC1539="*Oat",AC1539="Oat*",AC1539="Trudan_8",AC1539="*Wheat",AC1539="Wheat*",AC1539="Barley*",AC1539="Hemp",AC1539="Hemp",AC1539="Triticale*",AC1539="Grass",AC1539="Millet"),"Grass",IF(OR(AC1539="*clover",AC1539="clover*",AC1539="Vetch*",AC1539="Vetch*",AC1539="Alfalfa",AC1539="Soybean",AC1539="*Lentil",AC1539="Lentil*",AC1539="*Pea",AC1539="Pea*",AC1539="Lupine"),"Legume",AC1539)))</f>
        <v>Rye</v>
      </c>
      <c r="AE1539" s="109" t="s">
        <v>768</v>
      </c>
      <c r="AP1539" s="109" t="s">
        <v>154</v>
      </c>
      <c r="AQ1539" s="109">
        <v>3</v>
      </c>
      <c r="AR1539" s="109">
        <v>3</v>
      </c>
      <c r="AS1539" s="109" t="s">
        <v>177</v>
      </c>
      <c r="AU1539" s="109">
        <v>3727</v>
      </c>
      <c r="AV1539" s="109">
        <f>AU1539/136</f>
        <v>27.404411764705884</v>
      </c>
      <c r="BK1539" s="109">
        <v>70.599999999999994</v>
      </c>
      <c r="BL1539" s="109">
        <v>70.8</v>
      </c>
      <c r="BM1539" s="109" t="s">
        <v>1294</v>
      </c>
      <c r="DG1539" s="109">
        <v>5.56</v>
      </c>
      <c r="DH1539" s="109">
        <v>6</v>
      </c>
      <c r="DM1539" s="109">
        <v>8.41</v>
      </c>
      <c r="DN1539" s="109">
        <v>5.13</v>
      </c>
      <c r="DO1539" s="109" t="s">
        <v>1299</v>
      </c>
      <c r="DP1539" s="109">
        <v>42.08</v>
      </c>
      <c r="DQ1539" s="109">
        <v>29.7</v>
      </c>
      <c r="DR1539" s="109" t="s">
        <v>1300</v>
      </c>
      <c r="DY1539" s="109">
        <v>3.86</v>
      </c>
      <c r="DZ1539" s="109">
        <v>2.41</v>
      </c>
      <c r="EQ1539" s="109">
        <v>119.25</v>
      </c>
      <c r="ER1539" s="109">
        <v>176.57</v>
      </c>
      <c r="ES1539" s="109">
        <v>11.22</v>
      </c>
      <c r="ET1539" s="109">
        <v>12.94</v>
      </c>
      <c r="FA1539" s="109" t="s">
        <v>929</v>
      </c>
      <c r="FB1539" s="109" t="s">
        <v>1297</v>
      </c>
      <c r="FC1539" s="109">
        <v>70</v>
      </c>
    </row>
    <row r="1540" spans="1:159" s="47" customFormat="1" x14ac:dyDescent="0.25">
      <c r="A1540" s="47">
        <v>71</v>
      </c>
      <c r="B1540" s="47" t="s">
        <v>1301</v>
      </c>
      <c r="C1540" s="47" t="s">
        <v>1302</v>
      </c>
      <c r="D1540" s="47">
        <v>1988</v>
      </c>
      <c r="E1540" s="47">
        <v>1984</v>
      </c>
      <c r="F1540" s="47" t="s">
        <v>1303</v>
      </c>
      <c r="G1540" s="47" t="s">
        <v>1305</v>
      </c>
      <c r="H1540" s="47">
        <v>34.67</v>
      </c>
      <c r="I1540" s="47">
        <v>-86.89</v>
      </c>
      <c r="J1540" s="47">
        <v>182</v>
      </c>
      <c r="P1540" s="82" t="s">
        <v>179</v>
      </c>
      <c r="Q1540" s="82" t="s">
        <v>1057</v>
      </c>
      <c r="R1540" s="82" t="s">
        <v>1322</v>
      </c>
      <c r="S1540" s="82" t="s">
        <v>1640</v>
      </c>
      <c r="T1540" s="82" t="s">
        <v>1640</v>
      </c>
      <c r="V1540" s="47">
        <v>13</v>
      </c>
      <c r="W1540" s="47">
        <v>54</v>
      </c>
      <c r="X1540" s="47" t="s">
        <v>383</v>
      </c>
      <c r="AB1540" s="47" t="s">
        <v>1592</v>
      </c>
      <c r="AC1540" s="47" t="s">
        <v>1811</v>
      </c>
      <c r="AD1540" s="153" t="str">
        <f t="shared" si="280"/>
        <v>Winter_wheat</v>
      </c>
      <c r="AE1540" s="47" t="s">
        <v>709</v>
      </c>
      <c r="AM1540" s="47" t="s">
        <v>1304</v>
      </c>
      <c r="AN1540" s="47" t="s">
        <v>1304</v>
      </c>
      <c r="AO1540" s="47" t="s">
        <v>230</v>
      </c>
      <c r="BB1540" s="47">
        <v>3217</v>
      </c>
      <c r="BC1540" s="47">
        <v>3613</v>
      </c>
      <c r="CU1540" s="47">
        <v>228</v>
      </c>
      <c r="CV1540" s="47">
        <v>944</v>
      </c>
      <c r="CW1540" s="47" t="s">
        <v>1320</v>
      </c>
      <c r="CX1540" s="47">
        <v>9.1999999999999993</v>
      </c>
      <c r="CY1540" s="47">
        <v>21.3</v>
      </c>
      <c r="CZ1540" s="47" t="s">
        <v>1321</v>
      </c>
      <c r="FC1540" s="47">
        <v>71</v>
      </c>
    </row>
    <row r="1541" spans="1:159" s="47" customFormat="1" x14ac:dyDescent="0.25">
      <c r="A1541" s="47">
        <v>71</v>
      </c>
      <c r="B1541" s="47" t="s">
        <v>1301</v>
      </c>
      <c r="C1541" s="47" t="s">
        <v>1302</v>
      </c>
      <c r="D1541" s="47">
        <v>1988</v>
      </c>
      <c r="E1541" s="47">
        <v>1984</v>
      </c>
      <c r="F1541" s="47" t="s">
        <v>1303</v>
      </c>
      <c r="G1541" s="47" t="s">
        <v>1305</v>
      </c>
      <c r="H1541" s="47">
        <v>34.67</v>
      </c>
      <c r="I1541" s="47">
        <v>-86.89</v>
      </c>
      <c r="J1541" s="47">
        <v>182</v>
      </c>
      <c r="P1541" s="82" t="s">
        <v>179</v>
      </c>
      <c r="Q1541" s="82" t="s">
        <v>1057</v>
      </c>
      <c r="R1541" s="82" t="s">
        <v>1322</v>
      </c>
      <c r="S1541" s="82" t="s">
        <v>1640</v>
      </c>
      <c r="T1541" s="82" t="s">
        <v>1640</v>
      </c>
      <c r="V1541" s="47">
        <v>13</v>
      </c>
      <c r="W1541" s="47">
        <v>54</v>
      </c>
      <c r="X1541" s="47" t="s">
        <v>383</v>
      </c>
      <c r="AB1541" s="47" t="s">
        <v>1592</v>
      </c>
      <c r="AC1541" s="47" t="s">
        <v>1811</v>
      </c>
      <c r="AD1541" s="153" t="str">
        <f t="shared" si="280"/>
        <v>Winter_wheat</v>
      </c>
      <c r="AE1541" s="47" t="s">
        <v>709</v>
      </c>
      <c r="AM1541" s="47" t="s">
        <v>1304</v>
      </c>
      <c r="AN1541" s="47" t="s">
        <v>1304</v>
      </c>
      <c r="AO1541" s="47" t="s">
        <v>230</v>
      </c>
      <c r="BB1541" s="47">
        <v>3217</v>
      </c>
      <c r="BC1541" s="47">
        <v>3108</v>
      </c>
      <c r="CU1541" s="47">
        <v>228</v>
      </c>
      <c r="CV1541" s="47">
        <v>2103</v>
      </c>
      <c r="CW1541" s="47" t="s">
        <v>1320</v>
      </c>
      <c r="CX1541" s="47">
        <v>9.1999999999999993</v>
      </c>
      <c r="CY1541" s="47">
        <v>24.5</v>
      </c>
      <c r="CZ1541" s="47" t="s">
        <v>1321</v>
      </c>
      <c r="FC1541" s="47">
        <v>71</v>
      </c>
    </row>
    <row r="1542" spans="1:159" s="47" customFormat="1" x14ac:dyDescent="0.25">
      <c r="A1542" s="47">
        <v>71</v>
      </c>
      <c r="B1542" s="47" t="s">
        <v>1301</v>
      </c>
      <c r="C1542" s="47" t="s">
        <v>1302</v>
      </c>
      <c r="D1542" s="47">
        <v>1988</v>
      </c>
      <c r="E1542" s="47">
        <v>1984</v>
      </c>
      <c r="F1542" s="47" t="s">
        <v>1303</v>
      </c>
      <c r="G1542" s="47" t="s">
        <v>1305</v>
      </c>
      <c r="H1542" s="47">
        <v>34.67</v>
      </c>
      <c r="I1542" s="47">
        <v>-86.89</v>
      </c>
      <c r="J1542" s="47">
        <v>182</v>
      </c>
      <c r="P1542" s="82" t="s">
        <v>179</v>
      </c>
      <c r="Q1542" s="82" t="s">
        <v>1057</v>
      </c>
      <c r="R1542" s="82" t="s">
        <v>1323</v>
      </c>
      <c r="S1542" s="82" t="s">
        <v>1640</v>
      </c>
      <c r="T1542" s="82" t="s">
        <v>1640</v>
      </c>
      <c r="V1542" s="47">
        <v>13</v>
      </c>
      <c r="W1542" s="47">
        <v>54</v>
      </c>
      <c r="X1542" s="47" t="s">
        <v>383</v>
      </c>
      <c r="AB1542" s="47" t="s">
        <v>1592</v>
      </c>
      <c r="AC1542" s="47" t="s">
        <v>1811</v>
      </c>
      <c r="AD1542" s="153" t="str">
        <f t="shared" si="280"/>
        <v>Winter_wheat</v>
      </c>
      <c r="AE1542" s="47" t="s">
        <v>709</v>
      </c>
      <c r="AM1542" s="47" t="s">
        <v>1304</v>
      </c>
      <c r="AN1542" s="47" t="s">
        <v>1304</v>
      </c>
      <c r="AO1542" s="47" t="s">
        <v>230</v>
      </c>
      <c r="CU1542" s="47">
        <v>32</v>
      </c>
      <c r="CV1542" s="47">
        <v>123</v>
      </c>
      <c r="CW1542" s="47" t="s">
        <v>1320</v>
      </c>
      <c r="CX1542" s="47">
        <v>4.4000000000000004</v>
      </c>
      <c r="CY1542" s="47">
        <v>13.3</v>
      </c>
      <c r="CZ1542" s="47" t="s">
        <v>1321</v>
      </c>
      <c r="FC1542" s="47">
        <v>71</v>
      </c>
    </row>
    <row r="1543" spans="1:159" s="47" customFormat="1" x14ac:dyDescent="0.25">
      <c r="A1543" s="47">
        <v>71</v>
      </c>
      <c r="B1543" s="47" t="s">
        <v>1301</v>
      </c>
      <c r="C1543" s="47" t="s">
        <v>1302</v>
      </c>
      <c r="D1543" s="47">
        <v>1988</v>
      </c>
      <c r="E1543" s="47">
        <v>1984</v>
      </c>
      <c r="F1543" s="47" t="s">
        <v>1303</v>
      </c>
      <c r="G1543" s="47" t="s">
        <v>1305</v>
      </c>
      <c r="H1543" s="47">
        <v>34.67</v>
      </c>
      <c r="I1543" s="47">
        <v>-86.89</v>
      </c>
      <c r="J1543" s="47">
        <v>182</v>
      </c>
      <c r="P1543" s="82" t="s">
        <v>179</v>
      </c>
      <c r="Q1543" s="82" t="s">
        <v>1057</v>
      </c>
      <c r="R1543" s="82" t="s">
        <v>1323</v>
      </c>
      <c r="S1543" s="82" t="s">
        <v>1640</v>
      </c>
      <c r="T1543" s="82" t="s">
        <v>1640</v>
      </c>
      <c r="V1543" s="47">
        <v>13</v>
      </c>
      <c r="W1543" s="47">
        <v>54</v>
      </c>
      <c r="X1543" s="47" t="s">
        <v>383</v>
      </c>
      <c r="AB1543" s="47" t="s">
        <v>1592</v>
      </c>
      <c r="AC1543" s="47" t="s">
        <v>1811</v>
      </c>
      <c r="AD1543" s="153" t="str">
        <f t="shared" si="280"/>
        <v>Winter_wheat</v>
      </c>
      <c r="AE1543" s="47" t="s">
        <v>709</v>
      </c>
      <c r="AM1543" s="47" t="s">
        <v>1304</v>
      </c>
      <c r="AN1543" s="47" t="s">
        <v>1304</v>
      </c>
      <c r="AO1543" s="47" t="s">
        <v>230</v>
      </c>
      <c r="CU1543" s="47">
        <v>32</v>
      </c>
      <c r="CV1543" s="47">
        <v>134</v>
      </c>
      <c r="CW1543" s="47" t="s">
        <v>1320</v>
      </c>
      <c r="CX1543" s="47">
        <v>4.4000000000000004</v>
      </c>
      <c r="CY1543" s="47">
        <v>10</v>
      </c>
      <c r="CZ1543" s="47" t="s">
        <v>1321</v>
      </c>
      <c r="FC1543" s="47">
        <v>71</v>
      </c>
    </row>
    <row r="1544" spans="1:159" s="31" customFormat="1" x14ac:dyDescent="0.25">
      <c r="A1544" s="31">
        <v>72</v>
      </c>
      <c r="B1544" s="31" t="s">
        <v>1324</v>
      </c>
      <c r="C1544" s="31" t="s">
        <v>1325</v>
      </c>
      <c r="D1544" s="31">
        <v>1992</v>
      </c>
      <c r="E1544" s="31">
        <v>1989</v>
      </c>
      <c r="F1544" s="31" t="s">
        <v>162</v>
      </c>
      <c r="G1544" s="31" t="s">
        <v>1339</v>
      </c>
      <c r="H1544" s="31">
        <v>48.22</v>
      </c>
      <c r="I1544" s="31">
        <v>11.6</v>
      </c>
      <c r="J1544" s="31">
        <v>493</v>
      </c>
      <c r="P1544" s="56" t="s">
        <v>179</v>
      </c>
      <c r="Q1544" s="56" t="s">
        <v>1057</v>
      </c>
      <c r="R1544" s="56"/>
      <c r="S1544" s="56" t="s">
        <v>1653</v>
      </c>
      <c r="T1544" s="56" t="s">
        <v>1653</v>
      </c>
      <c r="V1544" s="31">
        <f>100-63-20</f>
        <v>17</v>
      </c>
      <c r="W1544" s="31">
        <v>63</v>
      </c>
      <c r="X1544" s="31" t="s">
        <v>175</v>
      </c>
      <c r="AB1544" s="31" t="s">
        <v>1593</v>
      </c>
      <c r="AC1544" s="31" t="s">
        <v>769</v>
      </c>
      <c r="AD1544" s="153" t="str">
        <f t="shared" si="280"/>
        <v>Mixed</v>
      </c>
      <c r="AE1544" s="31" t="s">
        <v>1326</v>
      </c>
      <c r="AG1544" s="31" t="s">
        <v>1327</v>
      </c>
      <c r="AH1544" s="31" t="s">
        <v>1328</v>
      </c>
      <c r="AI1544" s="31" t="s">
        <v>618</v>
      </c>
      <c r="AM1544" s="31" t="s">
        <v>1331</v>
      </c>
      <c r="AN1544" s="31" t="s">
        <v>1329</v>
      </c>
      <c r="AO1544" s="31" t="s">
        <v>618</v>
      </c>
      <c r="AP1544" s="31" t="s">
        <v>208</v>
      </c>
      <c r="BH1544" s="31">
        <v>0.89</v>
      </c>
      <c r="BI1544" s="31">
        <v>1.26</v>
      </c>
      <c r="BJ1544" s="31" t="s">
        <v>1209</v>
      </c>
      <c r="DS1544" s="31">
        <v>61.6</v>
      </c>
      <c r="DT1544" s="31">
        <v>105.6</v>
      </c>
      <c r="DU1544" s="31" t="s">
        <v>1333</v>
      </c>
      <c r="EE1544" s="31">
        <v>4.3999999999999997E-2</v>
      </c>
      <c r="EF1544" s="31">
        <v>4.2999999999999997E-2</v>
      </c>
      <c r="EG1544" s="31" t="s">
        <v>1332</v>
      </c>
      <c r="EQ1544" s="31">
        <v>281</v>
      </c>
      <c r="ER1544" s="31">
        <v>514</v>
      </c>
      <c r="FA1544" s="31" t="s">
        <v>1334</v>
      </c>
      <c r="FC1544" s="31">
        <v>72</v>
      </c>
    </row>
    <row r="1545" spans="1:159" s="31" customFormat="1" x14ac:dyDescent="0.25">
      <c r="A1545" s="31">
        <v>72</v>
      </c>
      <c r="B1545" s="31" t="s">
        <v>1324</v>
      </c>
      <c r="C1545" s="31" t="s">
        <v>1325</v>
      </c>
      <c r="D1545" s="31">
        <v>1992</v>
      </c>
      <c r="E1545" s="31">
        <v>1989</v>
      </c>
      <c r="F1545" s="31" t="s">
        <v>162</v>
      </c>
      <c r="G1545" s="31" t="s">
        <v>1339</v>
      </c>
      <c r="H1545" s="31">
        <v>48.22</v>
      </c>
      <c r="I1545" s="31">
        <v>11.6</v>
      </c>
      <c r="J1545" s="31">
        <v>493</v>
      </c>
      <c r="P1545" s="56" t="s">
        <v>179</v>
      </c>
      <c r="Q1545" s="56" t="s">
        <v>1057</v>
      </c>
      <c r="R1545" s="56"/>
      <c r="S1545" s="56" t="s">
        <v>1653</v>
      </c>
      <c r="T1545" s="56" t="s">
        <v>1653</v>
      </c>
      <c r="V1545" s="31">
        <f>100-63-20</f>
        <v>17</v>
      </c>
      <c r="W1545" s="31">
        <v>63</v>
      </c>
      <c r="X1545" s="31" t="s">
        <v>175</v>
      </c>
      <c r="AB1545" s="31" t="s">
        <v>1593</v>
      </c>
      <c r="AC1545" s="31" t="s">
        <v>769</v>
      </c>
      <c r="AD1545" s="153" t="str">
        <f t="shared" si="280"/>
        <v>Mixed</v>
      </c>
      <c r="AE1545" s="31" t="s">
        <v>1326</v>
      </c>
      <c r="AG1545" s="31" t="s">
        <v>1327</v>
      </c>
      <c r="AH1545" s="31" t="s">
        <v>1328</v>
      </c>
      <c r="AI1545" s="31" t="s">
        <v>618</v>
      </c>
      <c r="AM1545" s="31" t="s">
        <v>1330</v>
      </c>
      <c r="AN1545" s="31" t="s">
        <v>1329</v>
      </c>
      <c r="AO1545" s="31" t="s">
        <v>618</v>
      </c>
      <c r="AP1545" s="31" t="s">
        <v>208</v>
      </c>
      <c r="BH1545" s="31">
        <v>0.99</v>
      </c>
      <c r="BI1545" s="31">
        <v>1.26</v>
      </c>
      <c r="BJ1545" s="31" t="s">
        <v>1209</v>
      </c>
      <c r="DS1545" s="31">
        <v>69.2</v>
      </c>
      <c r="DT1545" s="31">
        <v>105.6</v>
      </c>
      <c r="DU1545" s="31" t="s">
        <v>1333</v>
      </c>
      <c r="EE1545" s="31">
        <v>4.2999999999999997E-2</v>
      </c>
      <c r="EF1545" s="31">
        <v>4.2999999999999997E-2</v>
      </c>
      <c r="EG1545" s="31" t="s">
        <v>1332</v>
      </c>
      <c r="EQ1545" s="31">
        <v>326</v>
      </c>
      <c r="ER1545" s="31">
        <v>514</v>
      </c>
      <c r="FA1545" s="31" t="s">
        <v>1334</v>
      </c>
      <c r="FC1545" s="31">
        <v>72</v>
      </c>
    </row>
    <row r="1546" spans="1:159" s="26" customFormat="1" x14ac:dyDescent="0.25">
      <c r="A1546" s="26">
        <v>73</v>
      </c>
      <c r="B1546" s="26" t="s">
        <v>1336</v>
      </c>
      <c r="C1546" s="26" t="s">
        <v>1337</v>
      </c>
      <c r="D1546" s="26">
        <v>2003</v>
      </c>
      <c r="E1546" s="26">
        <v>1988</v>
      </c>
      <c r="F1546" s="26" t="s">
        <v>1338</v>
      </c>
      <c r="G1546" s="26" t="s">
        <v>1368</v>
      </c>
      <c r="H1546" s="26">
        <v>50.29</v>
      </c>
      <c r="I1546" s="26">
        <v>-107.8</v>
      </c>
      <c r="J1546" s="26">
        <v>757</v>
      </c>
      <c r="P1546" s="52" t="s">
        <v>179</v>
      </c>
      <c r="Q1546" s="52" t="s">
        <v>1335</v>
      </c>
      <c r="R1546" s="52" t="s">
        <v>1343</v>
      </c>
      <c r="S1546" s="52" t="s">
        <v>1664</v>
      </c>
      <c r="T1546" s="52" t="s">
        <v>1682</v>
      </c>
      <c r="U1546" s="26">
        <f>(1.37+1.36+1.41+1.61+1.69)/5</f>
        <v>1.4880000000000002</v>
      </c>
      <c r="X1546" s="26" t="s">
        <v>175</v>
      </c>
      <c r="AB1546" s="26" t="s">
        <v>1594</v>
      </c>
      <c r="AC1546" s="26" t="s">
        <v>698</v>
      </c>
      <c r="AD1546" s="153" t="str">
        <f t="shared" si="280"/>
        <v>Legume</v>
      </c>
      <c r="AE1546" s="26" t="s">
        <v>1637</v>
      </c>
      <c r="AG1546" s="26" t="s">
        <v>1327</v>
      </c>
      <c r="AH1546" s="26" t="s">
        <v>1327</v>
      </c>
      <c r="AI1546" s="26" t="s">
        <v>230</v>
      </c>
      <c r="AM1546" s="26" t="s">
        <v>1341</v>
      </c>
      <c r="AN1546" s="26" t="s">
        <v>1342</v>
      </c>
      <c r="AO1546" s="26" t="s">
        <v>618</v>
      </c>
      <c r="AP1546" s="26" t="s">
        <v>1340</v>
      </c>
      <c r="AQ1546" s="26">
        <v>3</v>
      </c>
      <c r="AR1546" s="26">
        <v>3</v>
      </c>
      <c r="AS1546" s="26" t="s">
        <v>177</v>
      </c>
      <c r="AX1546" s="26" t="s">
        <v>1344</v>
      </c>
      <c r="AY1546" s="26">
        <v>1555</v>
      </c>
      <c r="AZ1546" s="26">
        <v>1011</v>
      </c>
      <c r="BA1546" s="26" t="s">
        <v>1345</v>
      </c>
      <c r="BB1546" s="26">
        <v>1168</v>
      </c>
      <c r="BC1546" s="26">
        <v>700</v>
      </c>
      <c r="BD1546" s="26" t="s">
        <v>1348</v>
      </c>
      <c r="BK1546" s="26">
        <f>154*0.056</f>
        <v>8.6240000000000006</v>
      </c>
      <c r="BL1546" s="26">
        <f>86.5*0.056</f>
        <v>4.8440000000000003</v>
      </c>
      <c r="BM1546" s="26" t="s">
        <v>1354</v>
      </c>
      <c r="CX1546" s="26">
        <v>4.5999999999999996</v>
      </c>
      <c r="CY1546" s="26">
        <v>3.65</v>
      </c>
      <c r="CZ1546" s="26" t="s">
        <v>1355</v>
      </c>
      <c r="DG1546" s="26">
        <v>231</v>
      </c>
      <c r="DH1546" s="26">
        <v>207</v>
      </c>
      <c r="DI1546" s="26" t="s">
        <v>1350</v>
      </c>
      <c r="DJ1546" s="26">
        <v>148</v>
      </c>
      <c r="DK1546" s="26">
        <v>124</v>
      </c>
      <c r="DL1546" s="26" t="s">
        <v>1349</v>
      </c>
      <c r="FA1546" s="26" t="s">
        <v>1348</v>
      </c>
      <c r="FC1546" s="26">
        <v>73</v>
      </c>
    </row>
    <row r="1547" spans="1:159" s="26" customFormat="1" x14ac:dyDescent="0.25">
      <c r="A1547" s="26">
        <v>73</v>
      </c>
      <c r="B1547" s="26" t="s">
        <v>1336</v>
      </c>
      <c r="C1547" s="26" t="s">
        <v>1337</v>
      </c>
      <c r="D1547" s="26">
        <v>2003</v>
      </c>
      <c r="E1547" s="26">
        <v>1989</v>
      </c>
      <c r="F1547" s="26" t="s">
        <v>1338</v>
      </c>
      <c r="G1547" s="26" t="s">
        <v>1368</v>
      </c>
      <c r="H1547" s="26">
        <v>50.29</v>
      </c>
      <c r="I1547" s="26">
        <v>-107.8</v>
      </c>
      <c r="J1547" s="26">
        <v>757</v>
      </c>
      <c r="P1547" s="52" t="s">
        <v>180</v>
      </c>
      <c r="Q1547" s="52" t="s">
        <v>1335</v>
      </c>
      <c r="R1547" s="52" t="s">
        <v>1343</v>
      </c>
      <c r="S1547" s="52" t="s">
        <v>1664</v>
      </c>
      <c r="T1547" s="52" t="s">
        <v>1682</v>
      </c>
      <c r="U1547" s="26">
        <f t="shared" ref="U1547:U1557" si="281">(1.37+1.36+1.41+1.61+1.69)/5</f>
        <v>1.4880000000000002</v>
      </c>
      <c r="X1547" s="26" t="s">
        <v>175</v>
      </c>
      <c r="AB1547" s="26" t="s">
        <v>1594</v>
      </c>
      <c r="AC1547" s="26" t="s">
        <v>698</v>
      </c>
      <c r="AD1547" s="153" t="str">
        <f t="shared" si="280"/>
        <v>Legume</v>
      </c>
      <c r="AE1547" s="26" t="s">
        <v>1637</v>
      </c>
      <c r="AG1547" s="26" t="s">
        <v>1327</v>
      </c>
      <c r="AH1547" s="26" t="s">
        <v>1327</v>
      </c>
      <c r="AI1547" s="26" t="s">
        <v>230</v>
      </c>
      <c r="AM1547" s="26" t="s">
        <v>1341</v>
      </c>
      <c r="AN1547" s="26" t="s">
        <v>1342</v>
      </c>
      <c r="AO1547" s="26" t="s">
        <v>618</v>
      </c>
      <c r="AP1547" s="26" t="s">
        <v>1340</v>
      </c>
      <c r="AQ1547" s="26">
        <v>3</v>
      </c>
      <c r="AR1547" s="26">
        <v>3</v>
      </c>
      <c r="AS1547" s="26" t="s">
        <v>177</v>
      </c>
      <c r="AX1547" s="26" t="s">
        <v>1344</v>
      </c>
      <c r="AY1547" s="26">
        <v>3024</v>
      </c>
      <c r="AZ1547" s="26">
        <v>2663</v>
      </c>
      <c r="BA1547" s="26" t="s">
        <v>1345</v>
      </c>
      <c r="BB1547" s="26">
        <v>1815</v>
      </c>
      <c r="BC1547" s="26">
        <v>1626</v>
      </c>
      <c r="BD1547" s="26" t="s">
        <v>1348</v>
      </c>
      <c r="BK1547" s="26">
        <f>168.5*0.056</f>
        <v>9.4359999999999999</v>
      </c>
      <c r="BL1547" s="26">
        <f>99.7*0.056</f>
        <v>5.5832000000000006</v>
      </c>
      <c r="BM1547" s="26" t="s">
        <v>1354</v>
      </c>
      <c r="CX1547" s="26">
        <v>5.65</v>
      </c>
      <c r="CY1547" s="26">
        <v>6.04</v>
      </c>
      <c r="CZ1547" s="26" t="s">
        <v>1355</v>
      </c>
      <c r="DG1547" s="26">
        <v>230</v>
      </c>
      <c r="DH1547" s="26">
        <v>187</v>
      </c>
      <c r="DI1547" s="26" t="s">
        <v>1350</v>
      </c>
      <c r="DJ1547" s="26">
        <v>147</v>
      </c>
      <c r="DK1547" s="26">
        <v>104</v>
      </c>
      <c r="DL1547" s="26" t="s">
        <v>1349</v>
      </c>
      <c r="FA1547" s="26" t="s">
        <v>1348</v>
      </c>
      <c r="FC1547" s="26">
        <v>73</v>
      </c>
    </row>
    <row r="1548" spans="1:159" s="26" customFormat="1" x14ac:dyDescent="0.25">
      <c r="A1548" s="26">
        <v>73</v>
      </c>
      <c r="B1548" s="26" t="s">
        <v>1336</v>
      </c>
      <c r="C1548" s="26" t="s">
        <v>1337</v>
      </c>
      <c r="D1548" s="26">
        <v>2003</v>
      </c>
      <c r="E1548" s="26">
        <v>1990</v>
      </c>
      <c r="F1548" s="26" t="s">
        <v>1338</v>
      </c>
      <c r="G1548" s="26" t="s">
        <v>1368</v>
      </c>
      <c r="H1548" s="26">
        <v>50.29</v>
      </c>
      <c r="I1548" s="26">
        <v>-107.8</v>
      </c>
      <c r="J1548" s="26">
        <v>757</v>
      </c>
      <c r="P1548" s="52" t="s">
        <v>181</v>
      </c>
      <c r="Q1548" s="52" t="s">
        <v>1335</v>
      </c>
      <c r="R1548" s="52" t="s">
        <v>1343</v>
      </c>
      <c r="S1548" s="52" t="s">
        <v>1664</v>
      </c>
      <c r="T1548" s="52" t="s">
        <v>1682</v>
      </c>
      <c r="U1548" s="26">
        <f t="shared" si="281"/>
        <v>1.4880000000000002</v>
      </c>
      <c r="X1548" s="26" t="s">
        <v>175</v>
      </c>
      <c r="AB1548" s="26" t="s">
        <v>1594</v>
      </c>
      <c r="AC1548" s="26" t="s">
        <v>698</v>
      </c>
      <c r="AD1548" s="153" t="str">
        <f t="shared" si="280"/>
        <v>Legume</v>
      </c>
      <c r="AE1548" s="26" t="s">
        <v>1637</v>
      </c>
      <c r="AG1548" s="26" t="s">
        <v>1327</v>
      </c>
      <c r="AH1548" s="26" t="s">
        <v>1327</v>
      </c>
      <c r="AI1548" s="26" t="s">
        <v>230</v>
      </c>
      <c r="AM1548" s="26" t="s">
        <v>1341</v>
      </c>
      <c r="AN1548" s="26" t="s">
        <v>1342</v>
      </c>
      <c r="AO1548" s="26" t="s">
        <v>618</v>
      </c>
      <c r="AP1548" s="26" t="s">
        <v>1340</v>
      </c>
      <c r="AQ1548" s="26">
        <v>3</v>
      </c>
      <c r="AR1548" s="26">
        <v>3</v>
      </c>
      <c r="AS1548" s="26" t="s">
        <v>177</v>
      </c>
      <c r="AX1548" s="26" t="s">
        <v>1344</v>
      </c>
      <c r="AY1548" s="26">
        <v>4198</v>
      </c>
      <c r="AZ1548" s="26">
        <v>1517</v>
      </c>
      <c r="BA1548" s="26" t="s">
        <v>1345</v>
      </c>
      <c r="BB1548" s="26">
        <v>2321</v>
      </c>
      <c r="BC1548" s="26">
        <v>1136</v>
      </c>
      <c r="BD1548" s="26" t="s">
        <v>1348</v>
      </c>
      <c r="BK1548" s="26">
        <f>168.6*0.056</f>
        <v>9.4415999999999993</v>
      </c>
      <c r="BL1548" s="26">
        <f>150.7*0.056</f>
        <v>8.4391999999999996</v>
      </c>
      <c r="BM1548" s="26" t="s">
        <v>1354</v>
      </c>
      <c r="CX1548" s="26">
        <v>6.1</v>
      </c>
      <c r="CY1548" s="26">
        <v>3.5</v>
      </c>
      <c r="CZ1548" s="26" t="s">
        <v>1355</v>
      </c>
      <c r="DG1548" s="26">
        <v>277</v>
      </c>
      <c r="DH1548" s="26">
        <v>214</v>
      </c>
      <c r="DI1548" s="26" t="s">
        <v>1350</v>
      </c>
      <c r="DJ1548" s="26">
        <v>194</v>
      </c>
      <c r="DK1548" s="26">
        <v>131</v>
      </c>
      <c r="DL1548" s="26" t="s">
        <v>1349</v>
      </c>
      <c r="FA1548" s="26" t="s">
        <v>1348</v>
      </c>
      <c r="FC1548" s="26">
        <v>73</v>
      </c>
    </row>
    <row r="1549" spans="1:159" s="26" customFormat="1" x14ac:dyDescent="0.25">
      <c r="A1549" s="26">
        <v>73</v>
      </c>
      <c r="B1549" s="26" t="s">
        <v>1336</v>
      </c>
      <c r="C1549" s="26" t="s">
        <v>1337</v>
      </c>
      <c r="D1549" s="26">
        <v>2003</v>
      </c>
      <c r="E1549" s="26">
        <v>1991</v>
      </c>
      <c r="F1549" s="26" t="s">
        <v>1338</v>
      </c>
      <c r="G1549" s="26" t="s">
        <v>1368</v>
      </c>
      <c r="H1549" s="26">
        <v>50.29</v>
      </c>
      <c r="I1549" s="26">
        <v>-107.8</v>
      </c>
      <c r="J1549" s="26">
        <v>757</v>
      </c>
      <c r="P1549" s="52" t="s">
        <v>182</v>
      </c>
      <c r="Q1549" s="52" t="s">
        <v>1335</v>
      </c>
      <c r="R1549" s="52" t="s">
        <v>1343</v>
      </c>
      <c r="S1549" s="52" t="s">
        <v>1664</v>
      </c>
      <c r="T1549" s="52" t="s">
        <v>1682</v>
      </c>
      <c r="U1549" s="26">
        <f t="shared" si="281"/>
        <v>1.4880000000000002</v>
      </c>
      <c r="X1549" s="26" t="s">
        <v>175</v>
      </c>
      <c r="AB1549" s="26" t="s">
        <v>1594</v>
      </c>
      <c r="AC1549" s="26" t="s">
        <v>698</v>
      </c>
      <c r="AD1549" s="153" t="str">
        <f t="shared" si="280"/>
        <v>Legume</v>
      </c>
      <c r="AE1549" s="26" t="s">
        <v>1637</v>
      </c>
      <c r="AG1549" s="26" t="s">
        <v>1327</v>
      </c>
      <c r="AH1549" s="26" t="s">
        <v>1327</v>
      </c>
      <c r="AI1549" s="26" t="s">
        <v>230</v>
      </c>
      <c r="AM1549" s="26" t="s">
        <v>1341</v>
      </c>
      <c r="AN1549" s="26" t="s">
        <v>1342</v>
      </c>
      <c r="AO1549" s="26" t="s">
        <v>618</v>
      </c>
      <c r="AP1549" s="26" t="s">
        <v>1340</v>
      </c>
      <c r="AQ1549" s="26">
        <v>3</v>
      </c>
      <c r="AR1549" s="26">
        <v>3</v>
      </c>
      <c r="AS1549" s="26" t="s">
        <v>177</v>
      </c>
      <c r="AX1549" s="26" t="s">
        <v>1344</v>
      </c>
      <c r="AY1549" s="26">
        <v>4598</v>
      </c>
      <c r="AZ1549" s="26">
        <v>4374</v>
      </c>
      <c r="BA1549" s="26" t="s">
        <v>1345</v>
      </c>
      <c r="BB1549" s="26">
        <v>2478</v>
      </c>
      <c r="BC1549" s="26">
        <v>2270</v>
      </c>
      <c r="BD1549" s="26" t="s">
        <v>1348</v>
      </c>
      <c r="BK1549" s="26">
        <f>134.3*0.056</f>
        <v>7.5208000000000004</v>
      </c>
      <c r="BL1549" s="26">
        <f>170.6*0.056</f>
        <v>9.5535999999999994</v>
      </c>
      <c r="BM1549" s="26" t="s">
        <v>1354</v>
      </c>
      <c r="CX1549" s="26">
        <v>4.9800000000000004</v>
      </c>
      <c r="CY1549" s="26">
        <v>5.28</v>
      </c>
      <c r="CZ1549" s="26" t="s">
        <v>1355</v>
      </c>
      <c r="DG1549" s="26">
        <v>287</v>
      </c>
      <c r="DH1549" s="26">
        <v>223</v>
      </c>
      <c r="DI1549" s="26" t="s">
        <v>1350</v>
      </c>
      <c r="DJ1549" s="26">
        <v>204</v>
      </c>
      <c r="DK1549" s="26">
        <v>140</v>
      </c>
      <c r="DL1549" s="26" t="s">
        <v>1349</v>
      </c>
      <c r="FA1549" s="26" t="s">
        <v>1348</v>
      </c>
      <c r="FC1549" s="26">
        <v>73</v>
      </c>
    </row>
    <row r="1550" spans="1:159" s="26" customFormat="1" x14ac:dyDescent="0.25">
      <c r="A1550" s="26">
        <v>73</v>
      </c>
      <c r="B1550" s="26" t="s">
        <v>1336</v>
      </c>
      <c r="C1550" s="26" t="s">
        <v>1337</v>
      </c>
      <c r="D1550" s="26">
        <v>2003</v>
      </c>
      <c r="E1550" s="26">
        <v>1992</v>
      </c>
      <c r="F1550" s="26" t="s">
        <v>1338</v>
      </c>
      <c r="G1550" s="26" t="s">
        <v>1368</v>
      </c>
      <c r="H1550" s="26">
        <v>50.29</v>
      </c>
      <c r="I1550" s="26">
        <v>-107.8</v>
      </c>
      <c r="J1550" s="26">
        <v>757</v>
      </c>
      <c r="P1550" s="52" t="s">
        <v>183</v>
      </c>
      <c r="Q1550" s="52" t="s">
        <v>1335</v>
      </c>
      <c r="R1550" s="52" t="s">
        <v>1343</v>
      </c>
      <c r="S1550" s="52" t="s">
        <v>1664</v>
      </c>
      <c r="T1550" s="52" t="s">
        <v>1682</v>
      </c>
      <c r="U1550" s="26">
        <f t="shared" si="281"/>
        <v>1.4880000000000002</v>
      </c>
      <c r="X1550" s="26" t="s">
        <v>175</v>
      </c>
      <c r="AB1550" s="26" t="s">
        <v>1594</v>
      </c>
      <c r="AC1550" s="26" t="s">
        <v>698</v>
      </c>
      <c r="AD1550" s="153" t="str">
        <f t="shared" si="280"/>
        <v>Legume</v>
      </c>
      <c r="AE1550" s="26" t="s">
        <v>1637</v>
      </c>
      <c r="AG1550" s="26" t="s">
        <v>1327</v>
      </c>
      <c r="AH1550" s="26" t="s">
        <v>1327</v>
      </c>
      <c r="AI1550" s="26" t="s">
        <v>230</v>
      </c>
      <c r="AM1550" s="26" t="s">
        <v>1341</v>
      </c>
      <c r="AN1550" s="26" t="s">
        <v>1342</v>
      </c>
      <c r="AO1550" s="26" t="s">
        <v>618</v>
      </c>
      <c r="AP1550" s="26" t="s">
        <v>1340</v>
      </c>
      <c r="AQ1550" s="26">
        <v>3</v>
      </c>
      <c r="AR1550" s="26">
        <v>3</v>
      </c>
      <c r="AS1550" s="26" t="s">
        <v>177</v>
      </c>
      <c r="AX1550" s="26" t="s">
        <v>1344</v>
      </c>
      <c r="AY1550" s="26">
        <v>4324</v>
      </c>
      <c r="AZ1550" s="26">
        <v>3058</v>
      </c>
      <c r="BA1550" s="26" t="s">
        <v>1345</v>
      </c>
      <c r="BB1550" s="26">
        <v>2756</v>
      </c>
      <c r="BC1550" s="26">
        <v>2055</v>
      </c>
      <c r="BD1550" s="26" t="s">
        <v>1348</v>
      </c>
      <c r="BK1550" s="26">
        <f>77.4*0.056</f>
        <v>4.3344000000000005</v>
      </c>
      <c r="BL1550" s="26">
        <f>86.4*0.056</f>
        <v>4.8384</v>
      </c>
      <c r="BM1550" s="26" t="s">
        <v>1354</v>
      </c>
      <c r="CX1550" s="26">
        <v>8.01</v>
      </c>
      <c r="CY1550" s="26">
        <v>7.16</v>
      </c>
      <c r="CZ1550" s="26" t="s">
        <v>1355</v>
      </c>
      <c r="DG1550" s="26">
        <v>281</v>
      </c>
      <c r="DH1550" s="26">
        <v>218</v>
      </c>
      <c r="DI1550" s="26" t="s">
        <v>1350</v>
      </c>
      <c r="DJ1550" s="26">
        <v>198</v>
      </c>
      <c r="DK1550" s="26">
        <v>135</v>
      </c>
      <c r="DL1550" s="26" t="s">
        <v>1349</v>
      </c>
      <c r="FA1550" s="26" t="s">
        <v>1348</v>
      </c>
      <c r="FC1550" s="26">
        <v>73</v>
      </c>
    </row>
    <row r="1551" spans="1:159" s="26" customFormat="1" x14ac:dyDescent="0.25">
      <c r="A1551" s="26">
        <v>73</v>
      </c>
      <c r="B1551" s="26" t="s">
        <v>1336</v>
      </c>
      <c r="C1551" s="26" t="s">
        <v>1337</v>
      </c>
      <c r="D1551" s="26">
        <v>2003</v>
      </c>
      <c r="E1551" s="26">
        <v>1993</v>
      </c>
      <c r="F1551" s="26" t="s">
        <v>1338</v>
      </c>
      <c r="G1551" s="26" t="s">
        <v>1368</v>
      </c>
      <c r="H1551" s="26">
        <v>50.29</v>
      </c>
      <c r="I1551" s="26">
        <v>-107.8</v>
      </c>
      <c r="J1551" s="26">
        <v>757</v>
      </c>
      <c r="P1551" s="52" t="s">
        <v>200</v>
      </c>
      <c r="Q1551" s="52" t="s">
        <v>1335</v>
      </c>
      <c r="R1551" s="52" t="s">
        <v>1343</v>
      </c>
      <c r="S1551" s="52" t="s">
        <v>1664</v>
      </c>
      <c r="T1551" s="52" t="s">
        <v>1682</v>
      </c>
      <c r="U1551" s="26">
        <f t="shared" si="281"/>
        <v>1.4880000000000002</v>
      </c>
      <c r="X1551" s="26" t="s">
        <v>175</v>
      </c>
      <c r="AB1551" s="26" t="s">
        <v>1594</v>
      </c>
      <c r="AC1551" s="26" t="s">
        <v>698</v>
      </c>
      <c r="AD1551" s="153" t="str">
        <f t="shared" si="280"/>
        <v>Legume</v>
      </c>
      <c r="AE1551" s="26" t="s">
        <v>1637</v>
      </c>
      <c r="AG1551" s="26" t="s">
        <v>1327</v>
      </c>
      <c r="AH1551" s="26" t="s">
        <v>1327</v>
      </c>
      <c r="AI1551" s="26" t="s">
        <v>230</v>
      </c>
      <c r="AM1551" s="26" t="s">
        <v>1341</v>
      </c>
      <c r="AN1551" s="26" t="s">
        <v>1342</v>
      </c>
      <c r="AO1551" s="26" t="s">
        <v>618</v>
      </c>
      <c r="AP1551" s="26" t="s">
        <v>1340</v>
      </c>
      <c r="AQ1551" s="26">
        <v>3</v>
      </c>
      <c r="AR1551" s="26">
        <v>3</v>
      </c>
      <c r="AS1551" s="26" t="s">
        <v>177</v>
      </c>
      <c r="AX1551" s="26" t="s">
        <v>1344</v>
      </c>
      <c r="AY1551" s="26">
        <v>5476</v>
      </c>
      <c r="AZ1551" s="26">
        <v>3918</v>
      </c>
      <c r="BA1551" s="26" t="s">
        <v>1345</v>
      </c>
      <c r="BB1551" s="26">
        <v>3362</v>
      </c>
      <c r="BC1551" s="26">
        <v>2533</v>
      </c>
      <c r="BD1551" s="26" t="s">
        <v>1348</v>
      </c>
      <c r="BK1551" s="26">
        <f>72*0.056</f>
        <v>4.032</v>
      </c>
      <c r="BL1551" s="26">
        <f>96.2*0.056</f>
        <v>5.3872</v>
      </c>
      <c r="BM1551" s="26" t="s">
        <v>1354</v>
      </c>
      <c r="CX1551" s="26">
        <v>10.36</v>
      </c>
      <c r="CY1551" s="26">
        <v>8.67</v>
      </c>
      <c r="CZ1551" s="26" t="s">
        <v>1355</v>
      </c>
      <c r="DG1551" s="26">
        <v>300</v>
      </c>
      <c r="DH1551" s="26">
        <v>238</v>
      </c>
      <c r="DI1551" s="26" t="s">
        <v>1350</v>
      </c>
      <c r="DJ1551" s="26">
        <v>217</v>
      </c>
      <c r="DK1551" s="26">
        <v>155</v>
      </c>
      <c r="DL1551" s="26" t="s">
        <v>1349</v>
      </c>
      <c r="FA1551" s="26" t="s">
        <v>1348</v>
      </c>
      <c r="FC1551" s="26">
        <v>73</v>
      </c>
    </row>
    <row r="1552" spans="1:159" s="26" customFormat="1" x14ac:dyDescent="0.25">
      <c r="A1552" s="26">
        <v>73</v>
      </c>
      <c r="B1552" s="26" t="s">
        <v>1336</v>
      </c>
      <c r="C1552" s="26" t="s">
        <v>1337</v>
      </c>
      <c r="D1552" s="26">
        <v>2003</v>
      </c>
      <c r="E1552" s="26">
        <v>1994</v>
      </c>
      <c r="F1552" s="26" t="s">
        <v>1338</v>
      </c>
      <c r="G1552" s="26" t="s">
        <v>1368</v>
      </c>
      <c r="H1552" s="26">
        <v>50.29</v>
      </c>
      <c r="I1552" s="26">
        <v>-107.8</v>
      </c>
      <c r="J1552" s="26">
        <v>757</v>
      </c>
      <c r="P1552" s="52" t="s">
        <v>1022</v>
      </c>
      <c r="Q1552" s="52" t="s">
        <v>1335</v>
      </c>
      <c r="R1552" s="52" t="s">
        <v>1343</v>
      </c>
      <c r="S1552" s="52" t="s">
        <v>1664</v>
      </c>
      <c r="T1552" s="52" t="s">
        <v>1682</v>
      </c>
      <c r="U1552" s="26">
        <f t="shared" si="281"/>
        <v>1.4880000000000002</v>
      </c>
      <c r="X1552" s="26" t="s">
        <v>175</v>
      </c>
      <c r="AB1552" s="26" t="s">
        <v>1594</v>
      </c>
      <c r="AC1552" s="26" t="s">
        <v>698</v>
      </c>
      <c r="AD1552" s="153" t="str">
        <f t="shared" si="280"/>
        <v>Legume</v>
      </c>
      <c r="AE1552" s="26" t="s">
        <v>1637</v>
      </c>
      <c r="AG1552" s="26" t="s">
        <v>1327</v>
      </c>
      <c r="AH1552" s="26" t="s">
        <v>1327</v>
      </c>
      <c r="AI1552" s="26" t="s">
        <v>230</v>
      </c>
      <c r="AM1552" s="26" t="s">
        <v>1341</v>
      </c>
      <c r="AN1552" s="26" t="s">
        <v>1342</v>
      </c>
      <c r="AO1552" s="26" t="s">
        <v>618</v>
      </c>
      <c r="AP1552" s="26" t="s">
        <v>1340</v>
      </c>
      <c r="AQ1552" s="26">
        <v>3</v>
      </c>
      <c r="AR1552" s="26">
        <v>3</v>
      </c>
      <c r="AS1552" s="26" t="s">
        <v>177</v>
      </c>
      <c r="AX1552" s="26" t="s">
        <v>1344</v>
      </c>
      <c r="AY1552" s="26">
        <v>3968</v>
      </c>
      <c r="AZ1552" s="26">
        <v>3837</v>
      </c>
      <c r="BA1552" s="26" t="s">
        <v>1345</v>
      </c>
      <c r="BB1552" s="26">
        <v>1992</v>
      </c>
      <c r="BC1552" s="26">
        <v>1817</v>
      </c>
      <c r="BD1552" s="26" t="s">
        <v>1348</v>
      </c>
      <c r="BK1552" s="26">
        <f>39.9*0.056</f>
        <v>2.2343999999999999</v>
      </c>
      <c r="BL1552" s="26">
        <f>67.3*0.056</f>
        <v>3.7687999999999997</v>
      </c>
      <c r="BM1552" s="26" t="s">
        <v>1354</v>
      </c>
      <c r="CX1552" s="26">
        <v>5.84</v>
      </c>
      <c r="CY1552" s="26">
        <v>5.03</v>
      </c>
      <c r="CZ1552" s="26" t="s">
        <v>1355</v>
      </c>
      <c r="DG1552" s="26">
        <v>299</v>
      </c>
      <c r="DH1552" s="26">
        <v>303</v>
      </c>
      <c r="DI1552" s="26" t="s">
        <v>1350</v>
      </c>
      <c r="DJ1552" s="26">
        <v>216</v>
      </c>
      <c r="DK1552" s="26">
        <v>220</v>
      </c>
      <c r="DL1552" s="26" t="s">
        <v>1349</v>
      </c>
      <c r="FA1552" s="26" t="s">
        <v>1348</v>
      </c>
      <c r="FC1552" s="26">
        <v>73</v>
      </c>
    </row>
    <row r="1553" spans="1:159" s="26" customFormat="1" x14ac:dyDescent="0.25">
      <c r="A1553" s="26">
        <v>73</v>
      </c>
      <c r="B1553" s="26" t="s">
        <v>1336</v>
      </c>
      <c r="C1553" s="26" t="s">
        <v>1337</v>
      </c>
      <c r="D1553" s="26">
        <v>2003</v>
      </c>
      <c r="E1553" s="26">
        <v>1995</v>
      </c>
      <c r="F1553" s="26" t="s">
        <v>1338</v>
      </c>
      <c r="G1553" s="26" t="s">
        <v>1368</v>
      </c>
      <c r="H1553" s="26">
        <v>50.29</v>
      </c>
      <c r="I1553" s="26">
        <v>-107.8</v>
      </c>
      <c r="J1553" s="26">
        <v>757</v>
      </c>
      <c r="P1553" s="52" t="s">
        <v>1023</v>
      </c>
      <c r="Q1553" s="52" t="s">
        <v>1335</v>
      </c>
      <c r="R1553" s="52" t="s">
        <v>1343</v>
      </c>
      <c r="S1553" s="52" t="s">
        <v>1664</v>
      </c>
      <c r="T1553" s="52" t="s">
        <v>1682</v>
      </c>
      <c r="U1553" s="26">
        <f t="shared" si="281"/>
        <v>1.4880000000000002</v>
      </c>
      <c r="X1553" s="26" t="s">
        <v>175</v>
      </c>
      <c r="AB1553" s="26" t="s">
        <v>1594</v>
      </c>
      <c r="AC1553" s="26" t="s">
        <v>698</v>
      </c>
      <c r="AD1553" s="153" t="str">
        <f t="shared" si="280"/>
        <v>Legume</v>
      </c>
      <c r="AE1553" s="26" t="s">
        <v>1637</v>
      </c>
      <c r="AG1553" s="26" t="s">
        <v>1327</v>
      </c>
      <c r="AH1553" s="26" t="s">
        <v>1327</v>
      </c>
      <c r="AI1553" s="26" t="s">
        <v>230</v>
      </c>
      <c r="AM1553" s="26" t="s">
        <v>1341</v>
      </c>
      <c r="AN1553" s="26" t="s">
        <v>1342</v>
      </c>
      <c r="AO1553" s="26" t="s">
        <v>618</v>
      </c>
      <c r="AP1553" s="26" t="s">
        <v>1340</v>
      </c>
      <c r="AQ1553" s="26">
        <v>3</v>
      </c>
      <c r="AR1553" s="26">
        <v>3</v>
      </c>
      <c r="AS1553" s="26" t="s">
        <v>177</v>
      </c>
      <c r="AX1553" s="26" t="s">
        <v>1344</v>
      </c>
      <c r="AY1553" s="26">
        <v>6058</v>
      </c>
      <c r="AZ1553" s="26">
        <v>6058</v>
      </c>
      <c r="BA1553" s="26" t="s">
        <v>1345</v>
      </c>
      <c r="BB1553" s="26">
        <v>3085</v>
      </c>
      <c r="BC1553" s="26">
        <v>3200</v>
      </c>
      <c r="BD1553" s="26" t="s">
        <v>1348</v>
      </c>
      <c r="BK1553" s="26">
        <f>68.7*0.056</f>
        <v>3.8472000000000004</v>
      </c>
      <c r="BL1553" s="26">
        <f>89.9*0.056</f>
        <v>5.0344000000000007</v>
      </c>
      <c r="BM1553" s="26" t="s">
        <v>1354</v>
      </c>
      <c r="CX1553" s="26">
        <v>8.41</v>
      </c>
      <c r="CY1553" s="26">
        <v>9.23</v>
      </c>
      <c r="CZ1553" s="26" t="s">
        <v>1355</v>
      </c>
      <c r="DG1553" s="26">
        <v>305</v>
      </c>
      <c r="DH1553" s="26">
        <v>274</v>
      </c>
      <c r="DI1553" s="26" t="s">
        <v>1350</v>
      </c>
      <c r="DJ1553" s="26">
        <v>222</v>
      </c>
      <c r="DK1553" s="26">
        <v>191</v>
      </c>
      <c r="DL1553" s="26" t="s">
        <v>1349</v>
      </c>
      <c r="FA1553" s="26" t="s">
        <v>1348</v>
      </c>
      <c r="FC1553" s="26">
        <v>73</v>
      </c>
    </row>
    <row r="1554" spans="1:159" s="26" customFormat="1" x14ac:dyDescent="0.25">
      <c r="A1554" s="26">
        <v>73</v>
      </c>
      <c r="B1554" s="26" t="s">
        <v>1336</v>
      </c>
      <c r="C1554" s="26" t="s">
        <v>1337</v>
      </c>
      <c r="D1554" s="26">
        <v>2003</v>
      </c>
      <c r="E1554" s="26">
        <v>1996</v>
      </c>
      <c r="F1554" s="26" t="s">
        <v>1338</v>
      </c>
      <c r="G1554" s="26" t="s">
        <v>1368</v>
      </c>
      <c r="H1554" s="26">
        <v>50.29</v>
      </c>
      <c r="I1554" s="26">
        <v>-107.8</v>
      </c>
      <c r="J1554" s="26">
        <v>757</v>
      </c>
      <c r="P1554" s="52" t="s">
        <v>1024</v>
      </c>
      <c r="Q1554" s="52" t="s">
        <v>1335</v>
      </c>
      <c r="R1554" s="52" t="s">
        <v>1343</v>
      </c>
      <c r="S1554" s="52" t="s">
        <v>1664</v>
      </c>
      <c r="T1554" s="52" t="s">
        <v>1682</v>
      </c>
      <c r="U1554" s="26">
        <f t="shared" si="281"/>
        <v>1.4880000000000002</v>
      </c>
      <c r="X1554" s="26" t="s">
        <v>175</v>
      </c>
      <c r="AB1554" s="26" t="s">
        <v>1594</v>
      </c>
      <c r="AC1554" s="26" t="s">
        <v>698</v>
      </c>
      <c r="AD1554" s="153" t="str">
        <f t="shared" si="280"/>
        <v>Legume</v>
      </c>
      <c r="AE1554" s="26" t="s">
        <v>1637</v>
      </c>
      <c r="AG1554" s="26" t="s">
        <v>1327</v>
      </c>
      <c r="AH1554" s="26" t="s">
        <v>1327</v>
      </c>
      <c r="AI1554" s="26" t="s">
        <v>230</v>
      </c>
      <c r="AM1554" s="26" t="s">
        <v>1341</v>
      </c>
      <c r="AN1554" s="26" t="s">
        <v>1342</v>
      </c>
      <c r="AO1554" s="26" t="s">
        <v>618</v>
      </c>
      <c r="AP1554" s="26" t="s">
        <v>1340</v>
      </c>
      <c r="AQ1554" s="26">
        <v>3</v>
      </c>
      <c r="AR1554" s="26">
        <v>3</v>
      </c>
      <c r="AS1554" s="26" t="s">
        <v>177</v>
      </c>
      <c r="AX1554" s="26" t="s">
        <v>1344</v>
      </c>
      <c r="AY1554" s="26">
        <v>4721</v>
      </c>
      <c r="AZ1554" s="26">
        <v>4728</v>
      </c>
      <c r="BA1554" s="26" t="s">
        <v>1345</v>
      </c>
      <c r="BB1554" s="26">
        <v>2395</v>
      </c>
      <c r="BC1554" s="26">
        <v>2501</v>
      </c>
      <c r="BD1554" s="26" t="s">
        <v>1348</v>
      </c>
      <c r="BK1554" s="26">
        <f>64.8*0.056</f>
        <v>3.6288</v>
      </c>
      <c r="BL1554" s="26">
        <f>119.1*0.056</f>
        <v>6.6696</v>
      </c>
      <c r="BM1554" s="26" t="s">
        <v>1354</v>
      </c>
      <c r="CX1554" s="26">
        <v>6.59</v>
      </c>
      <c r="CY1554" s="26">
        <v>6.98</v>
      </c>
      <c r="CZ1554" s="26" t="s">
        <v>1355</v>
      </c>
      <c r="DG1554" s="26">
        <v>325</v>
      </c>
      <c r="DH1554" s="26">
        <v>316</v>
      </c>
      <c r="DI1554" s="26" t="s">
        <v>1350</v>
      </c>
      <c r="DJ1554" s="26">
        <v>242</v>
      </c>
      <c r="DK1554" s="26">
        <v>233</v>
      </c>
      <c r="DL1554" s="26" t="s">
        <v>1349</v>
      </c>
      <c r="FA1554" s="26" t="s">
        <v>1348</v>
      </c>
      <c r="FC1554" s="26">
        <v>73</v>
      </c>
    </row>
    <row r="1555" spans="1:159" s="26" customFormat="1" x14ac:dyDescent="0.25">
      <c r="A1555" s="26">
        <v>73</v>
      </c>
      <c r="B1555" s="26" t="s">
        <v>1336</v>
      </c>
      <c r="C1555" s="26" t="s">
        <v>1337</v>
      </c>
      <c r="D1555" s="26">
        <v>2003</v>
      </c>
      <c r="E1555" s="26">
        <v>1997</v>
      </c>
      <c r="F1555" s="26" t="s">
        <v>1338</v>
      </c>
      <c r="G1555" s="26" t="s">
        <v>1368</v>
      </c>
      <c r="H1555" s="26">
        <v>50.29</v>
      </c>
      <c r="I1555" s="26">
        <v>-107.8</v>
      </c>
      <c r="J1555" s="26">
        <v>757</v>
      </c>
      <c r="P1555" s="52" t="s">
        <v>1242</v>
      </c>
      <c r="Q1555" s="52" t="s">
        <v>1335</v>
      </c>
      <c r="R1555" s="52" t="s">
        <v>1343</v>
      </c>
      <c r="S1555" s="52" t="s">
        <v>1664</v>
      </c>
      <c r="T1555" s="52" t="s">
        <v>1682</v>
      </c>
      <c r="U1555" s="26">
        <f t="shared" si="281"/>
        <v>1.4880000000000002</v>
      </c>
      <c r="X1555" s="26" t="s">
        <v>175</v>
      </c>
      <c r="AB1555" s="26" t="s">
        <v>1594</v>
      </c>
      <c r="AC1555" s="26" t="s">
        <v>698</v>
      </c>
      <c r="AD1555" s="153" t="str">
        <f t="shared" si="280"/>
        <v>Legume</v>
      </c>
      <c r="AE1555" s="26" t="s">
        <v>1637</v>
      </c>
      <c r="AG1555" s="26" t="s">
        <v>1327</v>
      </c>
      <c r="AH1555" s="26" t="s">
        <v>1327</v>
      </c>
      <c r="AI1555" s="26" t="s">
        <v>230</v>
      </c>
      <c r="AM1555" s="26" t="s">
        <v>1341</v>
      </c>
      <c r="AN1555" s="26" t="s">
        <v>1342</v>
      </c>
      <c r="AO1555" s="26" t="s">
        <v>618</v>
      </c>
      <c r="AP1555" s="26" t="s">
        <v>1340</v>
      </c>
      <c r="AQ1555" s="26">
        <v>3</v>
      </c>
      <c r="AR1555" s="26">
        <v>3</v>
      </c>
      <c r="AS1555" s="26" t="s">
        <v>177</v>
      </c>
      <c r="AX1555" s="26" t="s">
        <v>1344</v>
      </c>
      <c r="AY1555" s="26">
        <v>4439</v>
      </c>
      <c r="AZ1555" s="26">
        <v>5034</v>
      </c>
      <c r="BA1555" s="26" t="s">
        <v>1345</v>
      </c>
      <c r="BB1555" s="26">
        <v>2998</v>
      </c>
      <c r="BC1555" s="26">
        <v>3155</v>
      </c>
      <c r="BD1555" s="26" t="s">
        <v>1348</v>
      </c>
      <c r="BK1555" s="26">
        <f>66.2*0.056</f>
        <v>3.7072000000000003</v>
      </c>
      <c r="BL1555" s="26">
        <f>89.7*0.056</f>
        <v>5.0232000000000001</v>
      </c>
      <c r="BM1555" s="26" t="s">
        <v>1354</v>
      </c>
      <c r="CX1555" s="26">
        <v>7.95</v>
      </c>
      <c r="CY1555" s="26">
        <v>8.6</v>
      </c>
      <c r="CZ1555" s="26" t="s">
        <v>1355</v>
      </c>
      <c r="DG1555" s="26">
        <v>324</v>
      </c>
      <c r="DH1555" s="26">
        <v>322</v>
      </c>
      <c r="DI1555" s="26" t="s">
        <v>1350</v>
      </c>
      <c r="DJ1555" s="26">
        <v>241</v>
      </c>
      <c r="DK1555" s="26">
        <v>239</v>
      </c>
      <c r="DL1555" s="26" t="s">
        <v>1349</v>
      </c>
      <c r="FA1555" s="26" t="s">
        <v>1348</v>
      </c>
      <c r="FC1555" s="26">
        <v>73</v>
      </c>
    </row>
    <row r="1556" spans="1:159" s="26" customFormat="1" x14ac:dyDescent="0.25">
      <c r="A1556" s="26">
        <v>73</v>
      </c>
      <c r="B1556" s="26" t="s">
        <v>1336</v>
      </c>
      <c r="C1556" s="26" t="s">
        <v>1337</v>
      </c>
      <c r="D1556" s="26">
        <v>2003</v>
      </c>
      <c r="E1556" s="26">
        <v>1998</v>
      </c>
      <c r="F1556" s="26" t="s">
        <v>1338</v>
      </c>
      <c r="G1556" s="26" t="s">
        <v>1368</v>
      </c>
      <c r="H1556" s="26">
        <v>50.29</v>
      </c>
      <c r="I1556" s="26">
        <v>-107.8</v>
      </c>
      <c r="J1556" s="26">
        <v>757</v>
      </c>
      <c r="P1556" s="52" t="s">
        <v>1025</v>
      </c>
      <c r="Q1556" s="52" t="s">
        <v>1335</v>
      </c>
      <c r="R1556" s="52" t="s">
        <v>1343</v>
      </c>
      <c r="S1556" s="52" t="s">
        <v>1664</v>
      </c>
      <c r="T1556" s="52" t="s">
        <v>1682</v>
      </c>
      <c r="U1556" s="26">
        <f t="shared" si="281"/>
        <v>1.4880000000000002</v>
      </c>
      <c r="X1556" s="26" t="s">
        <v>175</v>
      </c>
      <c r="AB1556" s="26" t="s">
        <v>1594</v>
      </c>
      <c r="AC1556" s="26" t="s">
        <v>698</v>
      </c>
      <c r="AD1556" s="153" t="str">
        <f t="shared" si="280"/>
        <v>Legume</v>
      </c>
      <c r="AE1556" s="26" t="s">
        <v>1637</v>
      </c>
      <c r="AG1556" s="26" t="s">
        <v>1327</v>
      </c>
      <c r="AH1556" s="26" t="s">
        <v>1327</v>
      </c>
      <c r="AI1556" s="26" t="s">
        <v>230</v>
      </c>
      <c r="AM1556" s="26" t="s">
        <v>1341</v>
      </c>
      <c r="AN1556" s="26" t="s">
        <v>1342</v>
      </c>
      <c r="AO1556" s="26" t="s">
        <v>618</v>
      </c>
      <c r="AP1556" s="26" t="s">
        <v>1340</v>
      </c>
      <c r="AQ1556" s="26">
        <v>3</v>
      </c>
      <c r="AR1556" s="26">
        <v>3</v>
      </c>
      <c r="AS1556" s="26" t="s">
        <v>177</v>
      </c>
      <c r="AX1556" s="26" t="s">
        <v>1344</v>
      </c>
      <c r="AY1556" s="26">
        <v>4414</v>
      </c>
      <c r="AZ1556" s="26">
        <v>3843</v>
      </c>
      <c r="BA1556" s="26" t="s">
        <v>1345</v>
      </c>
      <c r="BB1556" s="26">
        <v>2587</v>
      </c>
      <c r="BC1556" s="26">
        <v>2290</v>
      </c>
      <c r="BD1556" s="26" t="s">
        <v>1348</v>
      </c>
      <c r="BK1556" s="26">
        <f>105*0.056</f>
        <v>5.88</v>
      </c>
      <c r="BL1556" s="26">
        <f>139.3*0.056</f>
        <v>7.8008000000000006</v>
      </c>
      <c r="BM1556" s="26" t="s">
        <v>1354</v>
      </c>
      <c r="CX1556" s="26">
        <v>7.15</v>
      </c>
      <c r="CY1556" s="26">
        <v>6.63</v>
      </c>
      <c r="CZ1556" s="26" t="s">
        <v>1355</v>
      </c>
      <c r="DG1556" s="26">
        <v>270</v>
      </c>
      <c r="DH1556" s="26">
        <v>248</v>
      </c>
      <c r="DI1556" s="26" t="s">
        <v>1350</v>
      </c>
      <c r="DJ1556" s="26">
        <v>187</v>
      </c>
      <c r="DK1556" s="26">
        <v>165</v>
      </c>
      <c r="DL1556" s="26" t="s">
        <v>1349</v>
      </c>
      <c r="FA1556" s="26" t="s">
        <v>1348</v>
      </c>
      <c r="FC1556" s="26">
        <v>73</v>
      </c>
    </row>
    <row r="1557" spans="1:159" s="26" customFormat="1" x14ac:dyDescent="0.25">
      <c r="A1557" s="26">
        <v>73</v>
      </c>
      <c r="B1557" s="26" t="s">
        <v>1336</v>
      </c>
      <c r="C1557" s="26" t="s">
        <v>1337</v>
      </c>
      <c r="D1557" s="26">
        <v>2003</v>
      </c>
      <c r="E1557" s="26">
        <v>1999</v>
      </c>
      <c r="F1557" s="26" t="s">
        <v>1338</v>
      </c>
      <c r="G1557" s="26" t="s">
        <v>1368</v>
      </c>
      <c r="H1557" s="26">
        <v>50.29</v>
      </c>
      <c r="I1557" s="26">
        <v>-107.8</v>
      </c>
      <c r="J1557" s="26">
        <v>757</v>
      </c>
      <c r="P1557" s="52" t="s">
        <v>1026</v>
      </c>
      <c r="Q1557" s="52" t="s">
        <v>1335</v>
      </c>
      <c r="R1557" s="52" t="s">
        <v>1343</v>
      </c>
      <c r="S1557" s="52" t="s">
        <v>1664</v>
      </c>
      <c r="T1557" s="52" t="s">
        <v>1682</v>
      </c>
      <c r="U1557" s="26">
        <f t="shared" si="281"/>
        <v>1.4880000000000002</v>
      </c>
      <c r="X1557" s="26" t="s">
        <v>175</v>
      </c>
      <c r="AB1557" s="26" t="s">
        <v>1594</v>
      </c>
      <c r="AC1557" s="26" t="s">
        <v>698</v>
      </c>
      <c r="AD1557" s="153" t="str">
        <f t="shared" si="280"/>
        <v>Legume</v>
      </c>
      <c r="AE1557" s="26" t="s">
        <v>1637</v>
      </c>
      <c r="AG1557" s="26" t="s">
        <v>1327</v>
      </c>
      <c r="AH1557" s="26" t="s">
        <v>1327</v>
      </c>
      <c r="AI1557" s="26" t="s">
        <v>230</v>
      </c>
      <c r="AM1557" s="26" t="s">
        <v>1341</v>
      </c>
      <c r="AN1557" s="26" t="s">
        <v>1342</v>
      </c>
      <c r="AO1557" s="26" t="s">
        <v>618</v>
      </c>
      <c r="AP1557" s="26" t="s">
        <v>1340</v>
      </c>
      <c r="AQ1557" s="26">
        <v>3</v>
      </c>
      <c r="AR1557" s="26">
        <v>3</v>
      </c>
      <c r="AS1557" s="26" t="s">
        <v>177</v>
      </c>
      <c r="AX1557" s="26" t="s">
        <v>1344</v>
      </c>
      <c r="AY1557" s="26">
        <v>5728</v>
      </c>
      <c r="AZ1557" s="26">
        <v>5114</v>
      </c>
      <c r="BA1557" s="26" t="s">
        <v>1345</v>
      </c>
      <c r="BB1557" s="26">
        <v>3574</v>
      </c>
      <c r="BC1557" s="26">
        <v>2876</v>
      </c>
      <c r="BD1557" s="26" t="s">
        <v>1348</v>
      </c>
      <c r="BK1557" s="26">
        <f>92.2*0.056</f>
        <v>5.1632000000000007</v>
      </c>
      <c r="BL1557" s="26">
        <f>109.2*0.056</f>
        <v>6.1152000000000006</v>
      </c>
      <c r="BM1557" s="26" t="s">
        <v>1354</v>
      </c>
      <c r="CX1557" s="26">
        <v>8.9</v>
      </c>
      <c r="CY1557" s="26">
        <v>8.4499999999999993</v>
      </c>
      <c r="CZ1557" s="26" t="s">
        <v>1355</v>
      </c>
      <c r="DG1557" s="26">
        <v>300</v>
      </c>
      <c r="DH1557" s="26">
        <v>228</v>
      </c>
      <c r="DI1557" s="26" t="s">
        <v>1350</v>
      </c>
      <c r="DJ1557" s="26">
        <v>217</v>
      </c>
      <c r="DK1557" s="26">
        <v>145</v>
      </c>
      <c r="DL1557" s="26" t="s">
        <v>1349</v>
      </c>
      <c r="FA1557" s="26" t="s">
        <v>1348</v>
      </c>
      <c r="FC1557" s="26">
        <v>73</v>
      </c>
    </row>
    <row r="1558" spans="1:159" s="35" customFormat="1" x14ac:dyDescent="0.25">
      <c r="A1558" s="35">
        <v>73</v>
      </c>
      <c r="B1558" s="35" t="s">
        <v>1336</v>
      </c>
      <c r="C1558" s="35" t="s">
        <v>1337</v>
      </c>
      <c r="D1558" s="35">
        <v>2003</v>
      </c>
      <c r="E1558" s="35">
        <v>1988</v>
      </c>
      <c r="F1558" s="35" t="s">
        <v>1338</v>
      </c>
      <c r="G1558" s="35" t="s">
        <v>1368</v>
      </c>
      <c r="H1558" s="35">
        <v>50.29</v>
      </c>
      <c r="I1558" s="35">
        <v>-107.8</v>
      </c>
      <c r="J1558" s="35">
        <v>757</v>
      </c>
      <c r="P1558" s="54" t="s">
        <v>179</v>
      </c>
      <c r="Q1558" s="54" t="s">
        <v>1335</v>
      </c>
      <c r="R1558" s="54" t="s">
        <v>1343</v>
      </c>
      <c r="S1558" s="54" t="s">
        <v>1664</v>
      </c>
      <c r="T1558" s="54" t="s">
        <v>1682</v>
      </c>
      <c r="U1558" s="35">
        <v>1.4880000000000002</v>
      </c>
      <c r="X1558" s="35" t="s">
        <v>175</v>
      </c>
      <c r="AB1558" s="35" t="s">
        <v>1594</v>
      </c>
      <c r="AC1558" s="35" t="s">
        <v>698</v>
      </c>
      <c r="AD1558" s="153" t="str">
        <f t="shared" si="280"/>
        <v>Legume</v>
      </c>
      <c r="AE1558" s="35" t="s">
        <v>1637</v>
      </c>
      <c r="AG1558" s="35" t="s">
        <v>1327</v>
      </c>
      <c r="AH1558" s="35" t="s">
        <v>1327</v>
      </c>
      <c r="AI1558" s="35" t="s">
        <v>230</v>
      </c>
      <c r="AM1558" s="35" t="s">
        <v>1341</v>
      </c>
      <c r="AN1558" s="35" t="s">
        <v>1342</v>
      </c>
      <c r="AO1558" s="35" t="s">
        <v>618</v>
      </c>
      <c r="AP1558" s="35" t="s">
        <v>1340</v>
      </c>
      <c r="AQ1558" s="35">
        <v>3</v>
      </c>
      <c r="AR1558" s="35">
        <v>3</v>
      </c>
      <c r="AS1558" s="35" t="s">
        <v>177</v>
      </c>
      <c r="AX1558" s="35" t="s">
        <v>1351</v>
      </c>
      <c r="AY1558" s="35">
        <v>794</v>
      </c>
      <c r="AZ1558" s="35">
        <v>745</v>
      </c>
      <c r="BA1558" s="35" t="s">
        <v>1345</v>
      </c>
      <c r="BB1558" s="35">
        <v>420</v>
      </c>
      <c r="BC1558" s="35">
        <v>407</v>
      </c>
      <c r="BD1558" s="35" t="s">
        <v>1348</v>
      </c>
      <c r="CX1558" s="35">
        <v>2.06</v>
      </c>
      <c r="CY1558" s="35">
        <v>2.0499999999999998</v>
      </c>
      <c r="CZ1558" s="35" t="s">
        <v>1355</v>
      </c>
      <c r="DG1558" s="35">
        <v>188</v>
      </c>
      <c r="DH1558" s="35">
        <v>179</v>
      </c>
      <c r="DI1558" s="35" t="s">
        <v>1350</v>
      </c>
      <c r="DJ1558" s="35">
        <v>105</v>
      </c>
      <c r="DK1558" s="35">
        <v>96</v>
      </c>
      <c r="DL1558" s="35" t="s">
        <v>1349</v>
      </c>
      <c r="FA1558" s="35" t="s">
        <v>1348</v>
      </c>
      <c r="FC1558" s="35">
        <v>73</v>
      </c>
    </row>
    <row r="1559" spans="1:159" s="35" customFormat="1" x14ac:dyDescent="0.25">
      <c r="A1559" s="35">
        <v>73</v>
      </c>
      <c r="B1559" s="35" t="s">
        <v>1336</v>
      </c>
      <c r="C1559" s="35" t="s">
        <v>1337</v>
      </c>
      <c r="D1559" s="35">
        <v>2003</v>
      </c>
      <c r="E1559" s="35">
        <v>1989</v>
      </c>
      <c r="F1559" s="35" t="s">
        <v>1338</v>
      </c>
      <c r="G1559" s="35" t="s">
        <v>1368</v>
      </c>
      <c r="H1559" s="35">
        <v>50.29</v>
      </c>
      <c r="I1559" s="35">
        <v>-107.8</v>
      </c>
      <c r="J1559" s="35">
        <v>757</v>
      </c>
      <c r="P1559" s="54" t="s">
        <v>180</v>
      </c>
      <c r="Q1559" s="54" t="s">
        <v>1335</v>
      </c>
      <c r="R1559" s="54" t="s">
        <v>1343</v>
      </c>
      <c r="S1559" s="54" t="s">
        <v>1664</v>
      </c>
      <c r="T1559" s="54" t="s">
        <v>1682</v>
      </c>
      <c r="U1559" s="35">
        <v>1.4880000000000002</v>
      </c>
      <c r="X1559" s="35" t="s">
        <v>175</v>
      </c>
      <c r="AB1559" s="35" t="s">
        <v>1594</v>
      </c>
      <c r="AC1559" s="35" t="s">
        <v>698</v>
      </c>
      <c r="AD1559" s="153" t="str">
        <f t="shared" si="280"/>
        <v>Legume</v>
      </c>
      <c r="AE1559" s="35" t="s">
        <v>1637</v>
      </c>
      <c r="AG1559" s="35" t="s">
        <v>1327</v>
      </c>
      <c r="AH1559" s="35" t="s">
        <v>1327</v>
      </c>
      <c r="AI1559" s="35" t="s">
        <v>230</v>
      </c>
      <c r="AM1559" s="35" t="s">
        <v>1341</v>
      </c>
      <c r="AN1559" s="35" t="s">
        <v>1342</v>
      </c>
      <c r="AO1559" s="35" t="s">
        <v>618</v>
      </c>
      <c r="AP1559" s="35" t="s">
        <v>1340</v>
      </c>
      <c r="AQ1559" s="35">
        <v>3</v>
      </c>
      <c r="AR1559" s="35">
        <v>3</v>
      </c>
      <c r="AS1559" s="35" t="s">
        <v>177</v>
      </c>
      <c r="AX1559" s="35" t="s">
        <v>1351</v>
      </c>
      <c r="AY1559" s="35">
        <v>2732</v>
      </c>
      <c r="AZ1559" s="35">
        <v>2926</v>
      </c>
      <c r="BA1559" s="35" t="s">
        <v>1345</v>
      </c>
      <c r="BB1559" s="35">
        <v>1655</v>
      </c>
      <c r="BC1559" s="35">
        <v>1738</v>
      </c>
      <c r="BD1559" s="35" t="s">
        <v>1348</v>
      </c>
      <c r="CX1559" s="35">
        <v>6.2</v>
      </c>
      <c r="CY1559" s="35">
        <v>6.22</v>
      </c>
      <c r="CZ1559" s="35" t="s">
        <v>1355</v>
      </c>
      <c r="DG1559" s="35">
        <v>191</v>
      </c>
      <c r="DH1559" s="35">
        <v>198</v>
      </c>
      <c r="DI1559" s="35" t="s">
        <v>1350</v>
      </c>
      <c r="DJ1559" s="35">
        <v>108</v>
      </c>
      <c r="DK1559" s="35">
        <v>115</v>
      </c>
      <c r="DL1559" s="35" t="s">
        <v>1349</v>
      </c>
      <c r="FA1559" s="35" t="s">
        <v>1348</v>
      </c>
      <c r="FC1559" s="35">
        <v>73</v>
      </c>
    </row>
    <row r="1560" spans="1:159" s="35" customFormat="1" x14ac:dyDescent="0.25">
      <c r="A1560" s="35">
        <v>73</v>
      </c>
      <c r="B1560" s="35" t="s">
        <v>1336</v>
      </c>
      <c r="C1560" s="35" t="s">
        <v>1337</v>
      </c>
      <c r="D1560" s="35">
        <v>2003</v>
      </c>
      <c r="E1560" s="35">
        <v>1990</v>
      </c>
      <c r="F1560" s="35" t="s">
        <v>1338</v>
      </c>
      <c r="G1560" s="35" t="s">
        <v>1368</v>
      </c>
      <c r="H1560" s="35">
        <v>50.29</v>
      </c>
      <c r="I1560" s="35">
        <v>-107.8</v>
      </c>
      <c r="J1560" s="35">
        <v>757</v>
      </c>
      <c r="P1560" s="54" t="s">
        <v>181</v>
      </c>
      <c r="Q1560" s="54" t="s">
        <v>1335</v>
      </c>
      <c r="R1560" s="54" t="s">
        <v>1343</v>
      </c>
      <c r="S1560" s="54" t="s">
        <v>1664</v>
      </c>
      <c r="T1560" s="54" t="s">
        <v>1682</v>
      </c>
      <c r="U1560" s="35">
        <v>1.4880000000000002</v>
      </c>
      <c r="X1560" s="35" t="s">
        <v>175</v>
      </c>
      <c r="AB1560" s="35" t="s">
        <v>1594</v>
      </c>
      <c r="AC1560" s="35" t="s">
        <v>698</v>
      </c>
      <c r="AD1560" s="153" t="str">
        <f t="shared" si="280"/>
        <v>Legume</v>
      </c>
      <c r="AE1560" s="35" t="s">
        <v>1637</v>
      </c>
      <c r="AG1560" s="35" t="s">
        <v>1327</v>
      </c>
      <c r="AH1560" s="35" t="s">
        <v>1327</v>
      </c>
      <c r="AI1560" s="35" t="s">
        <v>230</v>
      </c>
      <c r="AM1560" s="35" t="s">
        <v>1341</v>
      </c>
      <c r="AN1560" s="35" t="s">
        <v>1342</v>
      </c>
      <c r="AO1560" s="35" t="s">
        <v>618</v>
      </c>
      <c r="AP1560" s="35" t="s">
        <v>1340</v>
      </c>
      <c r="AQ1560" s="35">
        <v>3</v>
      </c>
      <c r="AR1560" s="35">
        <v>3</v>
      </c>
      <c r="AS1560" s="35" t="s">
        <v>177</v>
      </c>
      <c r="AX1560" s="35" t="s">
        <v>1351</v>
      </c>
      <c r="AY1560" s="35">
        <v>2395</v>
      </c>
      <c r="AZ1560" s="35">
        <v>2729</v>
      </c>
      <c r="BA1560" s="35" t="s">
        <v>1345</v>
      </c>
      <c r="BB1560" s="35">
        <v>1778</v>
      </c>
      <c r="BC1560" s="35">
        <v>1879</v>
      </c>
      <c r="BD1560" s="35" t="s">
        <v>1348</v>
      </c>
      <c r="CX1560" s="35">
        <v>5.3</v>
      </c>
      <c r="CY1560" s="35">
        <v>5.5</v>
      </c>
      <c r="CZ1560" s="35" t="s">
        <v>1355</v>
      </c>
      <c r="DG1560" s="35">
        <v>231</v>
      </c>
      <c r="DH1560" s="35">
        <v>244</v>
      </c>
      <c r="DI1560" s="35" t="s">
        <v>1350</v>
      </c>
      <c r="DJ1560" s="35">
        <v>148</v>
      </c>
      <c r="DK1560" s="35">
        <v>161</v>
      </c>
      <c r="DL1560" s="35" t="s">
        <v>1349</v>
      </c>
      <c r="FA1560" s="35" t="s">
        <v>1348</v>
      </c>
      <c r="FC1560" s="35">
        <v>73</v>
      </c>
    </row>
    <row r="1561" spans="1:159" s="35" customFormat="1" x14ac:dyDescent="0.25">
      <c r="A1561" s="35">
        <v>73</v>
      </c>
      <c r="B1561" s="35" t="s">
        <v>1336</v>
      </c>
      <c r="C1561" s="35" t="s">
        <v>1337</v>
      </c>
      <c r="D1561" s="35">
        <v>2003</v>
      </c>
      <c r="E1561" s="35">
        <v>1991</v>
      </c>
      <c r="F1561" s="35" t="s">
        <v>1338</v>
      </c>
      <c r="G1561" s="35" t="s">
        <v>1368</v>
      </c>
      <c r="H1561" s="35">
        <v>50.29</v>
      </c>
      <c r="I1561" s="35">
        <v>-107.8</v>
      </c>
      <c r="J1561" s="35">
        <v>757</v>
      </c>
      <c r="P1561" s="54" t="s">
        <v>182</v>
      </c>
      <c r="Q1561" s="54" t="s">
        <v>1335</v>
      </c>
      <c r="R1561" s="54" t="s">
        <v>1343</v>
      </c>
      <c r="S1561" s="54" t="s">
        <v>1664</v>
      </c>
      <c r="T1561" s="54" t="s">
        <v>1682</v>
      </c>
      <c r="U1561" s="35">
        <v>1.4880000000000002</v>
      </c>
      <c r="X1561" s="35" t="s">
        <v>175</v>
      </c>
      <c r="AB1561" s="35" t="s">
        <v>1594</v>
      </c>
      <c r="AC1561" s="35" t="s">
        <v>698</v>
      </c>
      <c r="AD1561" s="153" t="str">
        <f t="shared" si="280"/>
        <v>Legume</v>
      </c>
      <c r="AE1561" s="35" t="s">
        <v>1637</v>
      </c>
      <c r="AG1561" s="35" t="s">
        <v>1327</v>
      </c>
      <c r="AH1561" s="35" t="s">
        <v>1327</v>
      </c>
      <c r="AI1561" s="35" t="s">
        <v>230</v>
      </c>
      <c r="AM1561" s="35" t="s">
        <v>1341</v>
      </c>
      <c r="AN1561" s="35" t="s">
        <v>1342</v>
      </c>
      <c r="AO1561" s="35" t="s">
        <v>618</v>
      </c>
      <c r="AP1561" s="35" t="s">
        <v>1340</v>
      </c>
      <c r="AQ1561" s="35">
        <v>3</v>
      </c>
      <c r="AR1561" s="35">
        <v>3</v>
      </c>
      <c r="AS1561" s="35" t="s">
        <v>177</v>
      </c>
      <c r="AX1561" s="35" t="s">
        <v>1351</v>
      </c>
      <c r="AY1561" s="35">
        <v>4339</v>
      </c>
      <c r="AZ1561" s="35">
        <v>4550</v>
      </c>
      <c r="BA1561" s="35" t="s">
        <v>1345</v>
      </c>
      <c r="BB1561" s="35">
        <v>2581</v>
      </c>
      <c r="BC1561" s="35">
        <v>2638</v>
      </c>
      <c r="BD1561" s="35" t="s">
        <v>1348</v>
      </c>
      <c r="CX1561" s="35">
        <v>5.77</v>
      </c>
      <c r="CY1561" s="35">
        <v>5.78</v>
      </c>
      <c r="CZ1561" s="35" t="s">
        <v>1355</v>
      </c>
      <c r="DG1561" s="35">
        <v>260</v>
      </c>
      <c r="DH1561" s="35">
        <v>257</v>
      </c>
      <c r="DI1561" s="35" t="s">
        <v>1350</v>
      </c>
      <c r="DJ1561" s="35">
        <v>177</v>
      </c>
      <c r="DK1561" s="35">
        <v>174</v>
      </c>
      <c r="DL1561" s="35" t="s">
        <v>1349</v>
      </c>
      <c r="FA1561" s="35" t="s">
        <v>1348</v>
      </c>
      <c r="FC1561" s="35">
        <v>73</v>
      </c>
    </row>
    <row r="1562" spans="1:159" s="35" customFormat="1" x14ac:dyDescent="0.25">
      <c r="A1562" s="35">
        <v>73</v>
      </c>
      <c r="B1562" s="35" t="s">
        <v>1336</v>
      </c>
      <c r="C1562" s="35" t="s">
        <v>1337</v>
      </c>
      <c r="D1562" s="35">
        <v>2003</v>
      </c>
      <c r="E1562" s="35">
        <v>1992</v>
      </c>
      <c r="F1562" s="35" t="s">
        <v>1338</v>
      </c>
      <c r="G1562" s="35" t="s">
        <v>1368</v>
      </c>
      <c r="H1562" s="35">
        <v>50.29</v>
      </c>
      <c r="I1562" s="35">
        <v>-107.8</v>
      </c>
      <c r="J1562" s="35">
        <v>757</v>
      </c>
      <c r="P1562" s="54" t="s">
        <v>183</v>
      </c>
      <c r="Q1562" s="54" t="s">
        <v>1335</v>
      </c>
      <c r="R1562" s="54" t="s">
        <v>1343</v>
      </c>
      <c r="S1562" s="54" t="s">
        <v>1664</v>
      </c>
      <c r="T1562" s="54" t="s">
        <v>1682</v>
      </c>
      <c r="U1562" s="35">
        <v>1.4880000000000002</v>
      </c>
      <c r="X1562" s="35" t="s">
        <v>175</v>
      </c>
      <c r="AB1562" s="35" t="s">
        <v>1594</v>
      </c>
      <c r="AC1562" s="35" t="s">
        <v>698</v>
      </c>
      <c r="AD1562" s="153" t="str">
        <f t="shared" si="280"/>
        <v>Legume</v>
      </c>
      <c r="AE1562" s="35" t="s">
        <v>1637</v>
      </c>
      <c r="AG1562" s="35" t="s">
        <v>1327</v>
      </c>
      <c r="AH1562" s="35" t="s">
        <v>1327</v>
      </c>
      <c r="AI1562" s="35" t="s">
        <v>230</v>
      </c>
      <c r="AM1562" s="35" t="s">
        <v>1341</v>
      </c>
      <c r="AN1562" s="35" t="s">
        <v>1342</v>
      </c>
      <c r="AO1562" s="35" t="s">
        <v>618</v>
      </c>
      <c r="AP1562" s="35" t="s">
        <v>1340</v>
      </c>
      <c r="AQ1562" s="35">
        <v>3</v>
      </c>
      <c r="AR1562" s="35">
        <v>3</v>
      </c>
      <c r="AS1562" s="35" t="s">
        <v>177</v>
      </c>
      <c r="AX1562" s="35" t="s">
        <v>1351</v>
      </c>
      <c r="AY1562" s="35">
        <v>2475</v>
      </c>
      <c r="AZ1562" s="35">
        <v>2985</v>
      </c>
      <c r="BA1562" s="35" t="s">
        <v>1345</v>
      </c>
      <c r="BB1562" s="35">
        <v>1521</v>
      </c>
      <c r="BC1562" s="35">
        <v>1616</v>
      </c>
      <c r="BD1562" s="35" t="s">
        <v>1348</v>
      </c>
      <c r="CX1562" s="35">
        <v>5.92</v>
      </c>
      <c r="CY1562" s="35">
        <v>6.74</v>
      </c>
      <c r="CZ1562" s="35" t="s">
        <v>1355</v>
      </c>
      <c r="DG1562" s="35">
        <v>217</v>
      </c>
      <c r="DH1562" s="35">
        <v>183</v>
      </c>
      <c r="DI1562" s="35" t="s">
        <v>1350</v>
      </c>
      <c r="DJ1562" s="35">
        <v>134</v>
      </c>
      <c r="DK1562" s="35">
        <v>100</v>
      </c>
      <c r="DL1562" s="35" t="s">
        <v>1349</v>
      </c>
      <c r="FA1562" s="35" t="s">
        <v>1348</v>
      </c>
      <c r="FC1562" s="35">
        <v>73</v>
      </c>
    </row>
    <row r="1563" spans="1:159" s="35" customFormat="1" x14ac:dyDescent="0.25">
      <c r="A1563" s="35">
        <v>73</v>
      </c>
      <c r="B1563" s="35" t="s">
        <v>1336</v>
      </c>
      <c r="C1563" s="35" t="s">
        <v>1337</v>
      </c>
      <c r="D1563" s="35">
        <v>2003</v>
      </c>
      <c r="E1563" s="35">
        <v>1993</v>
      </c>
      <c r="F1563" s="35" t="s">
        <v>1338</v>
      </c>
      <c r="G1563" s="35" t="s">
        <v>1368</v>
      </c>
      <c r="H1563" s="35">
        <v>50.29</v>
      </c>
      <c r="I1563" s="35">
        <v>-107.8</v>
      </c>
      <c r="J1563" s="35">
        <v>757</v>
      </c>
      <c r="P1563" s="54" t="s">
        <v>200</v>
      </c>
      <c r="Q1563" s="54" t="s">
        <v>1335</v>
      </c>
      <c r="R1563" s="54" t="s">
        <v>1343</v>
      </c>
      <c r="S1563" s="54" t="s">
        <v>1664</v>
      </c>
      <c r="T1563" s="54" t="s">
        <v>1682</v>
      </c>
      <c r="U1563" s="35">
        <v>1.4880000000000002</v>
      </c>
      <c r="X1563" s="35" t="s">
        <v>175</v>
      </c>
      <c r="AB1563" s="35" t="s">
        <v>1594</v>
      </c>
      <c r="AC1563" s="35" t="s">
        <v>698</v>
      </c>
      <c r="AD1563" s="153" t="str">
        <f t="shared" si="280"/>
        <v>Legume</v>
      </c>
      <c r="AE1563" s="35" t="s">
        <v>1637</v>
      </c>
      <c r="AG1563" s="35" t="s">
        <v>1327</v>
      </c>
      <c r="AH1563" s="35" t="s">
        <v>1327</v>
      </c>
      <c r="AI1563" s="35" t="s">
        <v>230</v>
      </c>
      <c r="AM1563" s="35" t="s">
        <v>1341</v>
      </c>
      <c r="AN1563" s="35" t="s">
        <v>1342</v>
      </c>
      <c r="AO1563" s="35" t="s">
        <v>618</v>
      </c>
      <c r="AP1563" s="35" t="s">
        <v>1340</v>
      </c>
      <c r="AQ1563" s="35">
        <v>3</v>
      </c>
      <c r="AR1563" s="35">
        <v>3</v>
      </c>
      <c r="AS1563" s="35" t="s">
        <v>177</v>
      </c>
      <c r="AX1563" s="35" t="s">
        <v>1351</v>
      </c>
      <c r="AY1563" s="35">
        <v>3183</v>
      </c>
      <c r="AZ1563" s="35">
        <v>3049</v>
      </c>
      <c r="BA1563" s="35" t="s">
        <v>1345</v>
      </c>
      <c r="BB1563" s="35">
        <v>2232</v>
      </c>
      <c r="BC1563" s="35">
        <v>2030</v>
      </c>
      <c r="BD1563" s="35" t="s">
        <v>1348</v>
      </c>
      <c r="CX1563" s="35">
        <v>9.2799999999999994</v>
      </c>
      <c r="CY1563" s="35">
        <v>8.4499999999999993</v>
      </c>
      <c r="CZ1563" s="35" t="s">
        <v>1355</v>
      </c>
      <c r="DG1563" s="35">
        <v>214</v>
      </c>
      <c r="DH1563" s="35">
        <v>221</v>
      </c>
      <c r="DI1563" s="35" t="s">
        <v>1350</v>
      </c>
      <c r="DJ1563" s="35">
        <v>131</v>
      </c>
      <c r="DK1563" s="35">
        <v>138</v>
      </c>
      <c r="DL1563" s="35" t="s">
        <v>1349</v>
      </c>
      <c r="FA1563" s="35" t="s">
        <v>1348</v>
      </c>
      <c r="FC1563" s="35">
        <v>73</v>
      </c>
    </row>
    <row r="1564" spans="1:159" s="35" customFormat="1" x14ac:dyDescent="0.25">
      <c r="A1564" s="35">
        <v>73</v>
      </c>
      <c r="B1564" s="35" t="s">
        <v>1336</v>
      </c>
      <c r="C1564" s="35" t="s">
        <v>1337</v>
      </c>
      <c r="D1564" s="35">
        <v>2003</v>
      </c>
      <c r="E1564" s="35">
        <v>1994</v>
      </c>
      <c r="F1564" s="35" t="s">
        <v>1338</v>
      </c>
      <c r="G1564" s="35" t="s">
        <v>1368</v>
      </c>
      <c r="H1564" s="35">
        <v>50.29</v>
      </c>
      <c r="I1564" s="35">
        <v>-107.8</v>
      </c>
      <c r="J1564" s="35">
        <v>757</v>
      </c>
      <c r="P1564" s="54" t="s">
        <v>1022</v>
      </c>
      <c r="Q1564" s="54" t="s">
        <v>1335</v>
      </c>
      <c r="R1564" s="54" t="s">
        <v>1343</v>
      </c>
      <c r="S1564" s="54" t="s">
        <v>1664</v>
      </c>
      <c r="T1564" s="54" t="s">
        <v>1682</v>
      </c>
      <c r="U1564" s="35">
        <v>1.4880000000000002</v>
      </c>
      <c r="X1564" s="35" t="s">
        <v>175</v>
      </c>
      <c r="AB1564" s="35" t="s">
        <v>1594</v>
      </c>
      <c r="AC1564" s="35" t="s">
        <v>698</v>
      </c>
      <c r="AD1564" s="153" t="str">
        <f t="shared" si="280"/>
        <v>Legume</v>
      </c>
      <c r="AE1564" s="35" t="s">
        <v>1637</v>
      </c>
      <c r="AG1564" s="35" t="s">
        <v>1327</v>
      </c>
      <c r="AH1564" s="35" t="s">
        <v>1327</v>
      </c>
      <c r="AI1564" s="35" t="s">
        <v>230</v>
      </c>
      <c r="AM1564" s="35" t="s">
        <v>1341</v>
      </c>
      <c r="AN1564" s="35" t="s">
        <v>1342</v>
      </c>
      <c r="AO1564" s="35" t="s">
        <v>618</v>
      </c>
      <c r="AP1564" s="35" t="s">
        <v>1340</v>
      </c>
      <c r="AQ1564" s="35">
        <v>3</v>
      </c>
      <c r="AR1564" s="35">
        <v>3</v>
      </c>
      <c r="AS1564" s="35" t="s">
        <v>177</v>
      </c>
      <c r="AX1564" s="35" t="s">
        <v>1351</v>
      </c>
      <c r="AY1564" s="35">
        <v>2961</v>
      </c>
      <c r="AZ1564" s="35">
        <v>4238</v>
      </c>
      <c r="BA1564" s="35" t="s">
        <v>1345</v>
      </c>
      <c r="BB1564" s="35">
        <v>1546</v>
      </c>
      <c r="BC1564" s="35">
        <v>2112</v>
      </c>
      <c r="BD1564" s="35" t="s">
        <v>1348</v>
      </c>
      <c r="CX1564" s="35">
        <v>4.71</v>
      </c>
      <c r="CY1564" s="35">
        <v>6.31</v>
      </c>
      <c r="CZ1564" s="35" t="s">
        <v>1355</v>
      </c>
      <c r="DG1564" s="35">
        <v>293</v>
      </c>
      <c r="DH1564" s="35">
        <v>282</v>
      </c>
      <c r="DI1564" s="35" t="s">
        <v>1350</v>
      </c>
      <c r="DJ1564" s="35">
        <v>210</v>
      </c>
      <c r="DK1564" s="35">
        <v>199</v>
      </c>
      <c r="DL1564" s="35" t="s">
        <v>1349</v>
      </c>
      <c r="FA1564" s="35" t="s">
        <v>1348</v>
      </c>
      <c r="FC1564" s="35">
        <v>73</v>
      </c>
    </row>
    <row r="1565" spans="1:159" s="35" customFormat="1" x14ac:dyDescent="0.25">
      <c r="A1565" s="35">
        <v>73</v>
      </c>
      <c r="B1565" s="35" t="s">
        <v>1336</v>
      </c>
      <c r="C1565" s="35" t="s">
        <v>1337</v>
      </c>
      <c r="D1565" s="35">
        <v>2003</v>
      </c>
      <c r="E1565" s="35">
        <v>1995</v>
      </c>
      <c r="F1565" s="35" t="s">
        <v>1338</v>
      </c>
      <c r="G1565" s="35" t="s">
        <v>1368</v>
      </c>
      <c r="H1565" s="35">
        <v>50.29</v>
      </c>
      <c r="I1565" s="35">
        <v>-107.8</v>
      </c>
      <c r="J1565" s="35">
        <v>757</v>
      </c>
      <c r="P1565" s="54" t="s">
        <v>1023</v>
      </c>
      <c r="Q1565" s="54" t="s">
        <v>1335</v>
      </c>
      <c r="R1565" s="54" t="s">
        <v>1343</v>
      </c>
      <c r="S1565" s="54" t="s">
        <v>1664</v>
      </c>
      <c r="T1565" s="54" t="s">
        <v>1682</v>
      </c>
      <c r="U1565" s="35">
        <v>1.4880000000000002</v>
      </c>
      <c r="X1565" s="35" t="s">
        <v>175</v>
      </c>
      <c r="AB1565" s="35" t="s">
        <v>1594</v>
      </c>
      <c r="AC1565" s="35" t="s">
        <v>698</v>
      </c>
      <c r="AD1565" s="153" t="str">
        <f t="shared" si="280"/>
        <v>Legume</v>
      </c>
      <c r="AE1565" s="35" t="s">
        <v>1637</v>
      </c>
      <c r="AG1565" s="35" t="s">
        <v>1327</v>
      </c>
      <c r="AH1565" s="35" t="s">
        <v>1327</v>
      </c>
      <c r="AI1565" s="35" t="s">
        <v>230</v>
      </c>
      <c r="AM1565" s="35" t="s">
        <v>1341</v>
      </c>
      <c r="AN1565" s="35" t="s">
        <v>1342</v>
      </c>
      <c r="AO1565" s="35" t="s">
        <v>618</v>
      </c>
      <c r="AP1565" s="35" t="s">
        <v>1340</v>
      </c>
      <c r="AQ1565" s="35">
        <v>3</v>
      </c>
      <c r="AR1565" s="35">
        <v>3</v>
      </c>
      <c r="AS1565" s="35" t="s">
        <v>177</v>
      </c>
      <c r="AX1565" s="35" t="s">
        <v>1351</v>
      </c>
      <c r="AY1565" s="35">
        <v>4791</v>
      </c>
      <c r="AZ1565" s="35">
        <v>4694</v>
      </c>
      <c r="BA1565" s="35" t="s">
        <v>1345</v>
      </c>
      <c r="BB1565" s="35">
        <v>2703</v>
      </c>
      <c r="BC1565" s="35">
        <v>2673</v>
      </c>
      <c r="BD1565" s="35" t="s">
        <v>1348</v>
      </c>
      <c r="CX1565" s="35">
        <v>8.24</v>
      </c>
      <c r="CY1565" s="35">
        <v>7.83</v>
      </c>
      <c r="CZ1565" s="35" t="s">
        <v>1355</v>
      </c>
      <c r="DG1565" s="35">
        <v>256</v>
      </c>
      <c r="DH1565" s="35">
        <v>282</v>
      </c>
      <c r="DI1565" s="35" t="s">
        <v>1350</v>
      </c>
      <c r="DJ1565" s="35">
        <v>173</v>
      </c>
      <c r="DK1565" s="35">
        <v>199</v>
      </c>
      <c r="DL1565" s="35" t="s">
        <v>1349</v>
      </c>
      <c r="FA1565" s="35" t="s">
        <v>1348</v>
      </c>
      <c r="FC1565" s="35">
        <v>73</v>
      </c>
    </row>
    <row r="1566" spans="1:159" s="35" customFormat="1" x14ac:dyDescent="0.25">
      <c r="A1566" s="35">
        <v>73</v>
      </c>
      <c r="B1566" s="35" t="s">
        <v>1336</v>
      </c>
      <c r="C1566" s="35" t="s">
        <v>1337</v>
      </c>
      <c r="D1566" s="35">
        <v>2003</v>
      </c>
      <c r="E1566" s="35">
        <v>1996</v>
      </c>
      <c r="F1566" s="35" t="s">
        <v>1338</v>
      </c>
      <c r="G1566" s="35" t="s">
        <v>1368</v>
      </c>
      <c r="H1566" s="35">
        <v>50.29</v>
      </c>
      <c r="I1566" s="35">
        <v>-107.8</v>
      </c>
      <c r="J1566" s="35">
        <v>757</v>
      </c>
      <c r="P1566" s="54" t="s">
        <v>1024</v>
      </c>
      <c r="Q1566" s="54" t="s">
        <v>1335</v>
      </c>
      <c r="R1566" s="54" t="s">
        <v>1343</v>
      </c>
      <c r="S1566" s="54" t="s">
        <v>1664</v>
      </c>
      <c r="T1566" s="54" t="s">
        <v>1682</v>
      </c>
      <c r="U1566" s="35">
        <v>1.4880000000000002</v>
      </c>
      <c r="X1566" s="35" t="s">
        <v>175</v>
      </c>
      <c r="AB1566" s="35" t="s">
        <v>1594</v>
      </c>
      <c r="AC1566" s="35" t="s">
        <v>698</v>
      </c>
      <c r="AD1566" s="153" t="str">
        <f t="shared" si="280"/>
        <v>Legume</v>
      </c>
      <c r="AE1566" s="35" t="s">
        <v>1637</v>
      </c>
      <c r="AG1566" s="35" t="s">
        <v>1327</v>
      </c>
      <c r="AH1566" s="35" t="s">
        <v>1327</v>
      </c>
      <c r="AI1566" s="35" t="s">
        <v>230</v>
      </c>
      <c r="AM1566" s="35" t="s">
        <v>1341</v>
      </c>
      <c r="AN1566" s="35" t="s">
        <v>1342</v>
      </c>
      <c r="AO1566" s="35" t="s">
        <v>618</v>
      </c>
      <c r="AP1566" s="35" t="s">
        <v>1340</v>
      </c>
      <c r="AQ1566" s="35">
        <v>3</v>
      </c>
      <c r="AR1566" s="35">
        <v>3</v>
      </c>
      <c r="AS1566" s="35" t="s">
        <v>177</v>
      </c>
      <c r="AX1566" s="35" t="s">
        <v>1351</v>
      </c>
      <c r="AY1566" s="35">
        <v>4196</v>
      </c>
      <c r="AZ1566" s="35">
        <v>4044</v>
      </c>
      <c r="BA1566" s="35" t="s">
        <v>1345</v>
      </c>
      <c r="BB1566" s="35">
        <v>2566</v>
      </c>
      <c r="BC1566" s="35">
        <v>2488</v>
      </c>
      <c r="BD1566" s="35" t="s">
        <v>1348</v>
      </c>
      <c r="CX1566" s="35">
        <v>8.23</v>
      </c>
      <c r="CY1566" s="35">
        <v>7.68</v>
      </c>
      <c r="CZ1566" s="35" t="s">
        <v>1355</v>
      </c>
      <c r="DG1566" s="35">
        <v>279</v>
      </c>
      <c r="DH1566" s="35">
        <v>282</v>
      </c>
      <c r="DI1566" s="35" t="s">
        <v>1350</v>
      </c>
      <c r="DJ1566" s="35">
        <v>196</v>
      </c>
      <c r="DK1566" s="35">
        <v>199</v>
      </c>
      <c r="DL1566" s="35" t="s">
        <v>1349</v>
      </c>
      <c r="FA1566" s="35" t="s">
        <v>1348</v>
      </c>
      <c r="FC1566" s="35">
        <v>73</v>
      </c>
    </row>
    <row r="1567" spans="1:159" s="35" customFormat="1" x14ac:dyDescent="0.25">
      <c r="A1567" s="35">
        <v>73</v>
      </c>
      <c r="B1567" s="35" t="s">
        <v>1336</v>
      </c>
      <c r="C1567" s="35" t="s">
        <v>1337</v>
      </c>
      <c r="D1567" s="35">
        <v>2003</v>
      </c>
      <c r="E1567" s="35">
        <v>1997</v>
      </c>
      <c r="F1567" s="35" t="s">
        <v>1338</v>
      </c>
      <c r="G1567" s="35" t="s">
        <v>1368</v>
      </c>
      <c r="H1567" s="35">
        <v>50.29</v>
      </c>
      <c r="I1567" s="35">
        <v>-107.8</v>
      </c>
      <c r="J1567" s="35">
        <v>757</v>
      </c>
      <c r="P1567" s="54" t="s">
        <v>1242</v>
      </c>
      <c r="Q1567" s="54" t="s">
        <v>1335</v>
      </c>
      <c r="R1567" s="54" t="s">
        <v>1343</v>
      </c>
      <c r="S1567" s="54" t="s">
        <v>1664</v>
      </c>
      <c r="T1567" s="54" t="s">
        <v>1682</v>
      </c>
      <c r="U1567" s="35">
        <v>1.4880000000000002</v>
      </c>
      <c r="X1567" s="35" t="s">
        <v>175</v>
      </c>
      <c r="AB1567" s="35" t="s">
        <v>1594</v>
      </c>
      <c r="AC1567" s="35" t="s">
        <v>698</v>
      </c>
      <c r="AD1567" s="153" t="str">
        <f t="shared" si="280"/>
        <v>Legume</v>
      </c>
      <c r="AE1567" s="35" t="s">
        <v>1637</v>
      </c>
      <c r="AG1567" s="35" t="s">
        <v>1327</v>
      </c>
      <c r="AH1567" s="35" t="s">
        <v>1327</v>
      </c>
      <c r="AI1567" s="35" t="s">
        <v>230</v>
      </c>
      <c r="AM1567" s="35" t="s">
        <v>1341</v>
      </c>
      <c r="AN1567" s="35" t="s">
        <v>1342</v>
      </c>
      <c r="AO1567" s="35" t="s">
        <v>618</v>
      </c>
      <c r="AP1567" s="35" t="s">
        <v>1340</v>
      </c>
      <c r="AQ1567" s="35">
        <v>3</v>
      </c>
      <c r="AR1567" s="35">
        <v>3</v>
      </c>
      <c r="AS1567" s="35" t="s">
        <v>177</v>
      </c>
      <c r="AX1567" s="35" t="s">
        <v>1351</v>
      </c>
      <c r="AY1567" s="35">
        <v>3869</v>
      </c>
      <c r="AZ1567" s="35">
        <v>4507</v>
      </c>
      <c r="BA1567" s="35" t="s">
        <v>1345</v>
      </c>
      <c r="BB1567" s="35">
        <v>2647</v>
      </c>
      <c r="BC1567" s="35">
        <v>3075</v>
      </c>
      <c r="BD1567" s="35" t="s">
        <v>1348</v>
      </c>
      <c r="CX1567" s="35">
        <v>8.25</v>
      </c>
      <c r="CY1567" s="35">
        <v>9.19</v>
      </c>
      <c r="CZ1567" s="35" t="s">
        <v>1355</v>
      </c>
      <c r="DG1567" s="35">
        <v>285</v>
      </c>
      <c r="DH1567" s="35">
        <v>288</v>
      </c>
      <c r="DI1567" s="35" t="s">
        <v>1350</v>
      </c>
      <c r="DJ1567" s="35">
        <v>202</v>
      </c>
      <c r="DK1567" s="35">
        <v>205</v>
      </c>
      <c r="DL1567" s="35" t="s">
        <v>1349</v>
      </c>
      <c r="FA1567" s="35" t="s">
        <v>1348</v>
      </c>
      <c r="FC1567" s="35">
        <v>73</v>
      </c>
    </row>
    <row r="1568" spans="1:159" s="35" customFormat="1" x14ac:dyDescent="0.25">
      <c r="A1568" s="35">
        <v>73</v>
      </c>
      <c r="B1568" s="35" t="s">
        <v>1336</v>
      </c>
      <c r="C1568" s="35" t="s">
        <v>1337</v>
      </c>
      <c r="D1568" s="35">
        <v>2003</v>
      </c>
      <c r="E1568" s="35">
        <v>1998</v>
      </c>
      <c r="F1568" s="35" t="s">
        <v>1338</v>
      </c>
      <c r="G1568" s="35" t="s">
        <v>1368</v>
      </c>
      <c r="H1568" s="35">
        <v>50.29</v>
      </c>
      <c r="I1568" s="35">
        <v>-107.8</v>
      </c>
      <c r="J1568" s="35">
        <v>757</v>
      </c>
      <c r="P1568" s="54" t="s">
        <v>1025</v>
      </c>
      <c r="Q1568" s="54" t="s">
        <v>1335</v>
      </c>
      <c r="R1568" s="54" t="s">
        <v>1343</v>
      </c>
      <c r="S1568" s="54" t="s">
        <v>1664</v>
      </c>
      <c r="T1568" s="54" t="s">
        <v>1682</v>
      </c>
      <c r="U1568" s="35">
        <v>1.4880000000000002</v>
      </c>
      <c r="X1568" s="35" t="s">
        <v>175</v>
      </c>
      <c r="AB1568" s="35" t="s">
        <v>1594</v>
      </c>
      <c r="AC1568" s="35" t="s">
        <v>698</v>
      </c>
      <c r="AD1568" s="153" t="str">
        <f t="shared" si="280"/>
        <v>Legume</v>
      </c>
      <c r="AE1568" s="35" t="s">
        <v>1637</v>
      </c>
      <c r="AG1568" s="35" t="s">
        <v>1327</v>
      </c>
      <c r="AH1568" s="35" t="s">
        <v>1327</v>
      </c>
      <c r="AI1568" s="35" t="s">
        <v>230</v>
      </c>
      <c r="AM1568" s="35" t="s">
        <v>1341</v>
      </c>
      <c r="AN1568" s="35" t="s">
        <v>1342</v>
      </c>
      <c r="AO1568" s="35" t="s">
        <v>618</v>
      </c>
      <c r="AP1568" s="35" t="s">
        <v>1340</v>
      </c>
      <c r="AQ1568" s="35">
        <v>3</v>
      </c>
      <c r="AR1568" s="35">
        <v>3</v>
      </c>
      <c r="AS1568" s="35" t="s">
        <v>177</v>
      </c>
      <c r="AX1568" s="35" t="s">
        <v>1351</v>
      </c>
      <c r="AY1568" s="35">
        <v>2248</v>
      </c>
      <c r="AZ1568" s="35">
        <v>2210</v>
      </c>
      <c r="BA1568" s="35" t="s">
        <v>1345</v>
      </c>
      <c r="BB1568" s="35">
        <v>870</v>
      </c>
      <c r="BC1568" s="35">
        <v>657</v>
      </c>
      <c r="BD1568" s="35" t="s">
        <v>1348</v>
      </c>
      <c r="CX1568" s="35">
        <v>3.16</v>
      </c>
      <c r="CY1568" s="35">
        <v>2.5099999999999998</v>
      </c>
      <c r="CZ1568" s="35" t="s">
        <v>1355</v>
      </c>
      <c r="DG1568" s="35">
        <v>196</v>
      </c>
      <c r="DH1568" s="35">
        <v>182</v>
      </c>
      <c r="DI1568" s="35" t="s">
        <v>1350</v>
      </c>
      <c r="DJ1568" s="35">
        <v>113</v>
      </c>
      <c r="DK1568" s="35">
        <v>99</v>
      </c>
      <c r="DL1568" s="35" t="s">
        <v>1349</v>
      </c>
      <c r="FA1568" s="35" t="s">
        <v>1348</v>
      </c>
      <c r="FC1568" s="35">
        <v>73</v>
      </c>
    </row>
    <row r="1569" spans="1:159" s="35" customFormat="1" x14ac:dyDescent="0.25">
      <c r="A1569" s="35">
        <v>73</v>
      </c>
      <c r="B1569" s="35" t="s">
        <v>1336</v>
      </c>
      <c r="C1569" s="35" t="s">
        <v>1337</v>
      </c>
      <c r="D1569" s="35">
        <v>2003</v>
      </c>
      <c r="E1569" s="35">
        <v>1999</v>
      </c>
      <c r="F1569" s="35" t="s">
        <v>1338</v>
      </c>
      <c r="G1569" s="35" t="s">
        <v>1368</v>
      </c>
      <c r="H1569" s="35">
        <v>50.29</v>
      </c>
      <c r="I1569" s="35">
        <v>-107.8</v>
      </c>
      <c r="J1569" s="35">
        <v>757</v>
      </c>
      <c r="P1569" s="54" t="s">
        <v>1026</v>
      </c>
      <c r="Q1569" s="54" t="s">
        <v>1335</v>
      </c>
      <c r="R1569" s="54" t="s">
        <v>1343</v>
      </c>
      <c r="S1569" s="54" t="s">
        <v>1664</v>
      </c>
      <c r="T1569" s="54" t="s">
        <v>1682</v>
      </c>
      <c r="U1569" s="35">
        <v>1.4880000000000002</v>
      </c>
      <c r="X1569" s="35" t="s">
        <v>175</v>
      </c>
      <c r="AB1569" s="35" t="s">
        <v>1594</v>
      </c>
      <c r="AC1569" s="35" t="s">
        <v>698</v>
      </c>
      <c r="AD1569" s="153" t="str">
        <f t="shared" si="280"/>
        <v>Legume</v>
      </c>
      <c r="AE1569" s="35" t="s">
        <v>1637</v>
      </c>
      <c r="AG1569" s="35" t="s">
        <v>1327</v>
      </c>
      <c r="AH1569" s="35" t="s">
        <v>1327</v>
      </c>
      <c r="AI1569" s="35" t="s">
        <v>230</v>
      </c>
      <c r="AM1569" s="35" t="s">
        <v>1341</v>
      </c>
      <c r="AN1569" s="35" t="s">
        <v>1342</v>
      </c>
      <c r="AO1569" s="35" t="s">
        <v>618</v>
      </c>
      <c r="AP1569" s="35" t="s">
        <v>1340</v>
      </c>
      <c r="AQ1569" s="35">
        <v>3</v>
      </c>
      <c r="AR1569" s="35">
        <v>3</v>
      </c>
      <c r="AS1569" s="35" t="s">
        <v>177</v>
      </c>
      <c r="AX1569" s="35" t="s">
        <v>1351</v>
      </c>
      <c r="AY1569" s="35">
        <v>5009</v>
      </c>
      <c r="AZ1569" s="35">
        <v>5363</v>
      </c>
      <c r="BA1569" s="35" t="s">
        <v>1345</v>
      </c>
      <c r="BB1569" s="35">
        <v>3014</v>
      </c>
      <c r="BC1569" s="35">
        <v>2961</v>
      </c>
      <c r="BD1569" s="35" t="s">
        <v>1348</v>
      </c>
      <c r="CX1569" s="35">
        <v>9.89</v>
      </c>
      <c r="CY1569" s="35">
        <v>8.6</v>
      </c>
      <c r="CZ1569" s="35" t="s">
        <v>1355</v>
      </c>
      <c r="DG1569" s="35">
        <v>207</v>
      </c>
      <c r="DH1569" s="35">
        <v>234</v>
      </c>
      <c r="DI1569" s="35" t="s">
        <v>1350</v>
      </c>
      <c r="DJ1569" s="35">
        <v>124</v>
      </c>
      <c r="DK1569" s="35">
        <v>151</v>
      </c>
      <c r="DL1569" s="35" t="s">
        <v>1349</v>
      </c>
      <c r="FA1569" s="35" t="s">
        <v>1348</v>
      </c>
      <c r="FC1569" s="35">
        <v>73</v>
      </c>
    </row>
    <row r="1570" spans="1:159" s="113" customFormat="1" x14ac:dyDescent="0.25">
      <c r="A1570" s="113">
        <v>73</v>
      </c>
      <c r="B1570" s="113" t="s">
        <v>1336</v>
      </c>
      <c r="C1570" s="113" t="s">
        <v>1337</v>
      </c>
      <c r="D1570" s="113">
        <v>2003</v>
      </c>
      <c r="E1570" s="113">
        <v>1988</v>
      </c>
      <c r="F1570" s="113" t="s">
        <v>1338</v>
      </c>
      <c r="G1570" s="113" t="s">
        <v>1368</v>
      </c>
      <c r="H1570" s="113">
        <v>50.29</v>
      </c>
      <c r="I1570" s="113">
        <v>-107.8</v>
      </c>
      <c r="J1570" s="113">
        <v>757</v>
      </c>
      <c r="P1570" s="114" t="s">
        <v>179</v>
      </c>
      <c r="Q1570" s="114" t="s">
        <v>1335</v>
      </c>
      <c r="R1570" s="114" t="s">
        <v>1343</v>
      </c>
      <c r="S1570" s="114" t="s">
        <v>1654</v>
      </c>
      <c r="T1570" s="114" t="s">
        <v>1682</v>
      </c>
      <c r="U1570" s="113">
        <v>1.365</v>
      </c>
      <c r="X1570" s="113" t="s">
        <v>175</v>
      </c>
      <c r="AB1570" s="113" t="s">
        <v>1594</v>
      </c>
      <c r="AC1570" s="113" t="s">
        <v>698</v>
      </c>
      <c r="AD1570" s="153" t="str">
        <f t="shared" si="280"/>
        <v>Legume</v>
      </c>
      <c r="AE1570" s="113" t="s">
        <v>1637</v>
      </c>
      <c r="AG1570" s="113" t="s">
        <v>1327</v>
      </c>
      <c r="AH1570" s="113" t="s">
        <v>1327</v>
      </c>
      <c r="AI1570" s="113" t="s">
        <v>230</v>
      </c>
      <c r="AM1570" s="113" t="s">
        <v>1341</v>
      </c>
      <c r="AN1570" s="113" t="s">
        <v>1342</v>
      </c>
      <c r="AO1570" s="113" t="s">
        <v>618</v>
      </c>
      <c r="AP1570" s="113" t="s">
        <v>1340</v>
      </c>
      <c r="AQ1570" s="113">
        <v>3</v>
      </c>
      <c r="AR1570" s="113">
        <v>3</v>
      </c>
      <c r="AS1570" s="113" t="s">
        <v>177</v>
      </c>
      <c r="AX1570" s="113" t="s">
        <v>1344</v>
      </c>
      <c r="BK1570" s="113">
        <f>73*(1000000/(100*100*0.3*1.365*1000))</f>
        <v>17.826617826617827</v>
      </c>
      <c r="BL1570" s="113">
        <f>33.5*(1000000/(100*100*0.3*1.365*1000))</f>
        <v>8.1807081807081801</v>
      </c>
      <c r="BM1570" s="113" t="s">
        <v>1354</v>
      </c>
      <c r="FA1570" s="113" t="s">
        <v>1348</v>
      </c>
      <c r="FC1570" s="113">
        <v>73</v>
      </c>
    </row>
    <row r="1571" spans="1:159" s="113" customFormat="1" x14ac:dyDescent="0.25">
      <c r="A1571" s="113">
        <v>73</v>
      </c>
      <c r="B1571" s="113" t="s">
        <v>1336</v>
      </c>
      <c r="C1571" s="113" t="s">
        <v>1337</v>
      </c>
      <c r="D1571" s="113">
        <v>2003</v>
      </c>
      <c r="E1571" s="113">
        <v>1989</v>
      </c>
      <c r="F1571" s="113" t="s">
        <v>1338</v>
      </c>
      <c r="G1571" s="113" t="s">
        <v>1368</v>
      </c>
      <c r="H1571" s="113">
        <v>50.29</v>
      </c>
      <c r="I1571" s="113">
        <v>-107.8</v>
      </c>
      <c r="J1571" s="113">
        <v>757</v>
      </c>
      <c r="P1571" s="114" t="s">
        <v>180</v>
      </c>
      <c r="Q1571" s="114" t="s">
        <v>1335</v>
      </c>
      <c r="R1571" s="114" t="s">
        <v>1343</v>
      </c>
      <c r="S1571" s="114" t="s">
        <v>1654</v>
      </c>
      <c r="T1571" s="114" t="s">
        <v>1682</v>
      </c>
      <c r="U1571" s="113">
        <v>1.365</v>
      </c>
      <c r="X1571" s="113" t="s">
        <v>175</v>
      </c>
      <c r="AB1571" s="113" t="s">
        <v>1594</v>
      </c>
      <c r="AC1571" s="113" t="s">
        <v>698</v>
      </c>
      <c r="AD1571" s="153" t="str">
        <f t="shared" si="280"/>
        <v>Legume</v>
      </c>
      <c r="AE1571" s="113" t="s">
        <v>1637</v>
      </c>
      <c r="AG1571" s="113" t="s">
        <v>1327</v>
      </c>
      <c r="AH1571" s="113" t="s">
        <v>1327</v>
      </c>
      <c r="AI1571" s="113" t="s">
        <v>230</v>
      </c>
      <c r="AM1571" s="113" t="s">
        <v>1341</v>
      </c>
      <c r="AN1571" s="113" t="s">
        <v>1342</v>
      </c>
      <c r="AO1571" s="113" t="s">
        <v>618</v>
      </c>
      <c r="AP1571" s="113" t="s">
        <v>1340</v>
      </c>
      <c r="AQ1571" s="113">
        <v>3</v>
      </c>
      <c r="AR1571" s="113">
        <v>3</v>
      </c>
      <c r="AS1571" s="113" t="s">
        <v>177</v>
      </c>
      <c r="AX1571" s="113" t="s">
        <v>1344</v>
      </c>
      <c r="BK1571" s="113">
        <f>52.2*(1000000/(100*100*0.3*1.365*1000))</f>
        <v>12.747252747252748</v>
      </c>
      <c r="BL1571" s="113">
        <f>29.1*(1000000/(100*100*0.3*1.365*1000))</f>
        <v>7.1062271062271067</v>
      </c>
      <c r="BM1571" s="113" t="s">
        <v>1354</v>
      </c>
      <c r="FA1571" s="113" t="s">
        <v>1348</v>
      </c>
      <c r="FC1571" s="113">
        <v>73</v>
      </c>
    </row>
    <row r="1572" spans="1:159" s="113" customFormat="1" x14ac:dyDescent="0.25">
      <c r="A1572" s="113">
        <v>73</v>
      </c>
      <c r="B1572" s="113" t="s">
        <v>1336</v>
      </c>
      <c r="C1572" s="113" t="s">
        <v>1337</v>
      </c>
      <c r="D1572" s="113">
        <v>2003</v>
      </c>
      <c r="E1572" s="113">
        <v>1990</v>
      </c>
      <c r="F1572" s="113" t="s">
        <v>1338</v>
      </c>
      <c r="G1572" s="113" t="s">
        <v>1368</v>
      </c>
      <c r="H1572" s="113">
        <v>50.29</v>
      </c>
      <c r="I1572" s="113">
        <v>-107.8</v>
      </c>
      <c r="J1572" s="113">
        <v>757</v>
      </c>
      <c r="P1572" s="114" t="s">
        <v>181</v>
      </c>
      <c r="Q1572" s="114" t="s">
        <v>1335</v>
      </c>
      <c r="R1572" s="114" t="s">
        <v>1343</v>
      </c>
      <c r="S1572" s="114" t="s">
        <v>1654</v>
      </c>
      <c r="T1572" s="114" t="s">
        <v>1682</v>
      </c>
      <c r="U1572" s="113">
        <v>1.365</v>
      </c>
      <c r="X1572" s="113" t="s">
        <v>175</v>
      </c>
      <c r="AB1572" s="113" t="s">
        <v>1594</v>
      </c>
      <c r="AC1572" s="113" t="s">
        <v>698</v>
      </c>
      <c r="AD1572" s="153" t="str">
        <f t="shared" si="280"/>
        <v>Legume</v>
      </c>
      <c r="AE1572" s="113" t="s">
        <v>1637</v>
      </c>
      <c r="AG1572" s="113" t="s">
        <v>1327</v>
      </c>
      <c r="AH1572" s="113" t="s">
        <v>1327</v>
      </c>
      <c r="AI1572" s="113" t="s">
        <v>230</v>
      </c>
      <c r="AM1572" s="113" t="s">
        <v>1341</v>
      </c>
      <c r="AN1572" s="113" t="s">
        <v>1342</v>
      </c>
      <c r="AO1572" s="113" t="s">
        <v>618</v>
      </c>
      <c r="AP1572" s="113" t="s">
        <v>1340</v>
      </c>
      <c r="AQ1572" s="113">
        <v>3</v>
      </c>
      <c r="AR1572" s="113">
        <v>3</v>
      </c>
      <c r="AS1572" s="113" t="s">
        <v>177</v>
      </c>
      <c r="AX1572" s="113" t="s">
        <v>1344</v>
      </c>
      <c r="BK1572" s="113">
        <f>66.6*(1000000/(100*100*0.3*1.365*1000))</f>
        <v>16.263736263736263</v>
      </c>
      <c r="BL1572" s="113">
        <f>53.2*(1000000/(100*100*0.3*1.365*1000))</f>
        <v>12.991452991452991</v>
      </c>
      <c r="BM1572" s="113" t="s">
        <v>1354</v>
      </c>
      <c r="FA1572" s="113" t="s">
        <v>1348</v>
      </c>
      <c r="FC1572" s="113">
        <v>73</v>
      </c>
    </row>
    <row r="1573" spans="1:159" s="113" customFormat="1" x14ac:dyDescent="0.25">
      <c r="A1573" s="113">
        <v>73</v>
      </c>
      <c r="B1573" s="113" t="s">
        <v>1336</v>
      </c>
      <c r="C1573" s="113" t="s">
        <v>1337</v>
      </c>
      <c r="D1573" s="113">
        <v>2003</v>
      </c>
      <c r="E1573" s="113">
        <v>1991</v>
      </c>
      <c r="F1573" s="113" t="s">
        <v>1338</v>
      </c>
      <c r="G1573" s="113" t="s">
        <v>1368</v>
      </c>
      <c r="H1573" s="113">
        <v>50.29</v>
      </c>
      <c r="I1573" s="113">
        <v>-107.8</v>
      </c>
      <c r="J1573" s="113">
        <v>757</v>
      </c>
      <c r="P1573" s="114" t="s">
        <v>182</v>
      </c>
      <c r="Q1573" s="114" t="s">
        <v>1335</v>
      </c>
      <c r="R1573" s="114" t="s">
        <v>1343</v>
      </c>
      <c r="S1573" s="114" t="s">
        <v>1654</v>
      </c>
      <c r="T1573" s="114" t="s">
        <v>1682</v>
      </c>
      <c r="U1573" s="113">
        <v>1.365</v>
      </c>
      <c r="X1573" s="113" t="s">
        <v>175</v>
      </c>
      <c r="AB1573" s="113" t="s">
        <v>1594</v>
      </c>
      <c r="AC1573" s="113" t="s">
        <v>698</v>
      </c>
      <c r="AD1573" s="153" t="str">
        <f t="shared" si="280"/>
        <v>Legume</v>
      </c>
      <c r="AE1573" s="113" t="s">
        <v>1637</v>
      </c>
      <c r="AG1573" s="113" t="s">
        <v>1327</v>
      </c>
      <c r="AH1573" s="113" t="s">
        <v>1327</v>
      </c>
      <c r="AI1573" s="113" t="s">
        <v>230</v>
      </c>
      <c r="AM1573" s="113" t="s">
        <v>1341</v>
      </c>
      <c r="AN1573" s="113" t="s">
        <v>1342</v>
      </c>
      <c r="AO1573" s="113" t="s">
        <v>618</v>
      </c>
      <c r="AP1573" s="113" t="s">
        <v>1340</v>
      </c>
      <c r="AQ1573" s="113">
        <v>3</v>
      </c>
      <c r="AR1573" s="113">
        <v>3</v>
      </c>
      <c r="AS1573" s="113" t="s">
        <v>177</v>
      </c>
      <c r="AX1573" s="113" t="s">
        <v>1344</v>
      </c>
      <c r="BK1573" s="113">
        <f>44.7*(1000000/(100*100*0.3*1.365*1000))</f>
        <v>10.915750915750916</v>
      </c>
      <c r="BL1573" s="113">
        <f>56.3*(1000000/(100*100*0.3*1.365*1000))</f>
        <v>13.748473748473748</v>
      </c>
      <c r="BM1573" s="113" t="s">
        <v>1354</v>
      </c>
      <c r="FA1573" s="113" t="s">
        <v>1348</v>
      </c>
      <c r="FC1573" s="113">
        <v>73</v>
      </c>
    </row>
    <row r="1574" spans="1:159" s="113" customFormat="1" x14ac:dyDescent="0.25">
      <c r="A1574" s="113">
        <v>73</v>
      </c>
      <c r="B1574" s="113" t="s">
        <v>1336</v>
      </c>
      <c r="C1574" s="113" t="s">
        <v>1337</v>
      </c>
      <c r="D1574" s="113">
        <v>2003</v>
      </c>
      <c r="E1574" s="113">
        <v>1992</v>
      </c>
      <c r="F1574" s="113" t="s">
        <v>1338</v>
      </c>
      <c r="G1574" s="113" t="s">
        <v>1368</v>
      </c>
      <c r="H1574" s="113">
        <v>50.29</v>
      </c>
      <c r="I1574" s="113">
        <v>-107.8</v>
      </c>
      <c r="J1574" s="113">
        <v>757</v>
      </c>
      <c r="P1574" s="114" t="s">
        <v>183</v>
      </c>
      <c r="Q1574" s="114" t="s">
        <v>1335</v>
      </c>
      <c r="R1574" s="114" t="s">
        <v>1343</v>
      </c>
      <c r="S1574" s="114" t="s">
        <v>1654</v>
      </c>
      <c r="T1574" s="114" t="s">
        <v>1682</v>
      </c>
      <c r="U1574" s="113">
        <v>1.365</v>
      </c>
      <c r="X1574" s="113" t="s">
        <v>175</v>
      </c>
      <c r="AB1574" s="113" t="s">
        <v>1594</v>
      </c>
      <c r="AC1574" s="113" t="s">
        <v>698</v>
      </c>
      <c r="AD1574" s="153" t="str">
        <f t="shared" si="280"/>
        <v>Legume</v>
      </c>
      <c r="AE1574" s="113" t="s">
        <v>1637</v>
      </c>
      <c r="AG1574" s="113" t="s">
        <v>1327</v>
      </c>
      <c r="AH1574" s="113" t="s">
        <v>1327</v>
      </c>
      <c r="AI1574" s="113" t="s">
        <v>230</v>
      </c>
      <c r="AM1574" s="113" t="s">
        <v>1341</v>
      </c>
      <c r="AN1574" s="113" t="s">
        <v>1342</v>
      </c>
      <c r="AO1574" s="113" t="s">
        <v>618</v>
      </c>
      <c r="AP1574" s="113" t="s">
        <v>1340</v>
      </c>
      <c r="AQ1574" s="113">
        <v>3</v>
      </c>
      <c r="AR1574" s="113">
        <v>3</v>
      </c>
      <c r="AS1574" s="113" t="s">
        <v>177</v>
      </c>
      <c r="AX1574" s="113" t="s">
        <v>1344</v>
      </c>
      <c r="BK1574" s="113">
        <f>33.4*(1000000/(100*100*0.3*1.365*1000))</f>
        <v>8.1562881562881557</v>
      </c>
      <c r="BL1574" s="113">
        <f>19.7*(1000000/(100*100*0.3*1.365*1000))</f>
        <v>4.8107448107448105</v>
      </c>
      <c r="BM1574" s="113" t="s">
        <v>1354</v>
      </c>
      <c r="FA1574" s="113" t="s">
        <v>1348</v>
      </c>
      <c r="FC1574" s="113">
        <v>73</v>
      </c>
    </row>
    <row r="1575" spans="1:159" s="113" customFormat="1" x14ac:dyDescent="0.25">
      <c r="A1575" s="113">
        <v>73</v>
      </c>
      <c r="B1575" s="113" t="s">
        <v>1336</v>
      </c>
      <c r="C1575" s="113" t="s">
        <v>1337</v>
      </c>
      <c r="D1575" s="113">
        <v>2003</v>
      </c>
      <c r="E1575" s="113">
        <v>1993</v>
      </c>
      <c r="F1575" s="113" t="s">
        <v>1338</v>
      </c>
      <c r="G1575" s="113" t="s">
        <v>1368</v>
      </c>
      <c r="H1575" s="113">
        <v>50.29</v>
      </c>
      <c r="I1575" s="113">
        <v>-107.8</v>
      </c>
      <c r="J1575" s="113">
        <v>757</v>
      </c>
      <c r="P1575" s="114" t="s">
        <v>200</v>
      </c>
      <c r="Q1575" s="114" t="s">
        <v>1335</v>
      </c>
      <c r="R1575" s="114" t="s">
        <v>1343</v>
      </c>
      <c r="S1575" s="114" t="s">
        <v>1654</v>
      </c>
      <c r="T1575" s="114" t="s">
        <v>1682</v>
      </c>
      <c r="U1575" s="113">
        <v>1.365</v>
      </c>
      <c r="X1575" s="113" t="s">
        <v>175</v>
      </c>
      <c r="AB1575" s="113" t="s">
        <v>1594</v>
      </c>
      <c r="AC1575" s="113" t="s">
        <v>698</v>
      </c>
      <c r="AD1575" s="153" t="str">
        <f t="shared" si="280"/>
        <v>Legume</v>
      </c>
      <c r="AE1575" s="113" t="s">
        <v>1637</v>
      </c>
      <c r="AG1575" s="113" t="s">
        <v>1327</v>
      </c>
      <c r="AH1575" s="113" t="s">
        <v>1327</v>
      </c>
      <c r="AI1575" s="113" t="s">
        <v>230</v>
      </c>
      <c r="AM1575" s="113" t="s">
        <v>1341</v>
      </c>
      <c r="AN1575" s="113" t="s">
        <v>1342</v>
      </c>
      <c r="AO1575" s="113" t="s">
        <v>618</v>
      </c>
      <c r="AP1575" s="113" t="s">
        <v>1340</v>
      </c>
      <c r="AQ1575" s="113">
        <v>3</v>
      </c>
      <c r="AR1575" s="113">
        <v>3</v>
      </c>
      <c r="AS1575" s="113" t="s">
        <v>177</v>
      </c>
      <c r="AX1575" s="113" t="s">
        <v>1344</v>
      </c>
      <c r="BK1575" s="113">
        <f>23*(1000000/(100*100*0.3*1.365*1000))</f>
        <v>5.6166056166056162</v>
      </c>
      <c r="BL1575" s="113">
        <f>44.7*(1000000/(100*100*0.3*1.365*1000))</f>
        <v>10.915750915750916</v>
      </c>
      <c r="BM1575" s="113" t="s">
        <v>1354</v>
      </c>
      <c r="FA1575" s="113" t="s">
        <v>1348</v>
      </c>
      <c r="FC1575" s="113">
        <v>73</v>
      </c>
    </row>
    <row r="1576" spans="1:159" s="113" customFormat="1" x14ac:dyDescent="0.25">
      <c r="A1576" s="113">
        <v>73</v>
      </c>
      <c r="B1576" s="113" t="s">
        <v>1336</v>
      </c>
      <c r="C1576" s="113" t="s">
        <v>1337</v>
      </c>
      <c r="D1576" s="113">
        <v>2003</v>
      </c>
      <c r="E1576" s="113">
        <v>1994</v>
      </c>
      <c r="F1576" s="113" t="s">
        <v>1338</v>
      </c>
      <c r="G1576" s="113" t="s">
        <v>1368</v>
      </c>
      <c r="H1576" s="113">
        <v>50.29</v>
      </c>
      <c r="I1576" s="113">
        <v>-107.8</v>
      </c>
      <c r="J1576" s="113">
        <v>757</v>
      </c>
      <c r="P1576" s="114" t="s">
        <v>1022</v>
      </c>
      <c r="Q1576" s="114" t="s">
        <v>1335</v>
      </c>
      <c r="R1576" s="114" t="s">
        <v>1343</v>
      </c>
      <c r="S1576" s="114" t="s">
        <v>1654</v>
      </c>
      <c r="T1576" s="114" t="s">
        <v>1682</v>
      </c>
      <c r="U1576" s="113">
        <v>1.365</v>
      </c>
      <c r="X1576" s="113" t="s">
        <v>175</v>
      </c>
      <c r="AB1576" s="113" t="s">
        <v>1594</v>
      </c>
      <c r="AC1576" s="113" t="s">
        <v>698</v>
      </c>
      <c r="AD1576" s="153" t="str">
        <f t="shared" si="280"/>
        <v>Legume</v>
      </c>
      <c r="AE1576" s="113" t="s">
        <v>1637</v>
      </c>
      <c r="AG1576" s="113" t="s">
        <v>1327</v>
      </c>
      <c r="AH1576" s="113" t="s">
        <v>1327</v>
      </c>
      <c r="AI1576" s="113" t="s">
        <v>230</v>
      </c>
      <c r="AM1576" s="113" t="s">
        <v>1341</v>
      </c>
      <c r="AN1576" s="113" t="s">
        <v>1342</v>
      </c>
      <c r="AO1576" s="113" t="s">
        <v>618</v>
      </c>
      <c r="AP1576" s="113" t="s">
        <v>1340</v>
      </c>
      <c r="AQ1576" s="113">
        <v>3</v>
      </c>
      <c r="AR1576" s="113">
        <v>3</v>
      </c>
      <c r="AS1576" s="113" t="s">
        <v>177</v>
      </c>
      <c r="AX1576" s="113" t="s">
        <v>1344</v>
      </c>
      <c r="BK1576" s="113">
        <f>15.1*(1000000/(100*100*0.3*1.365*1000))</f>
        <v>3.6874236874236872</v>
      </c>
      <c r="BL1576" s="113">
        <f>27.9*(1000000/(100*100*0.3*1.365*1000))</f>
        <v>6.813186813186813</v>
      </c>
      <c r="BM1576" s="113" t="s">
        <v>1354</v>
      </c>
      <c r="FA1576" s="113" t="s">
        <v>1348</v>
      </c>
      <c r="FC1576" s="113">
        <v>73</v>
      </c>
    </row>
    <row r="1577" spans="1:159" s="113" customFormat="1" x14ac:dyDescent="0.25">
      <c r="A1577" s="113">
        <v>73</v>
      </c>
      <c r="B1577" s="113" t="s">
        <v>1336</v>
      </c>
      <c r="C1577" s="113" t="s">
        <v>1337</v>
      </c>
      <c r="D1577" s="113">
        <v>2003</v>
      </c>
      <c r="E1577" s="113">
        <v>1995</v>
      </c>
      <c r="F1577" s="113" t="s">
        <v>1338</v>
      </c>
      <c r="G1577" s="113" t="s">
        <v>1368</v>
      </c>
      <c r="H1577" s="113">
        <v>50.29</v>
      </c>
      <c r="I1577" s="113">
        <v>-107.8</v>
      </c>
      <c r="J1577" s="113">
        <v>757</v>
      </c>
      <c r="P1577" s="114" t="s">
        <v>1023</v>
      </c>
      <c r="Q1577" s="114" t="s">
        <v>1335</v>
      </c>
      <c r="R1577" s="114" t="s">
        <v>1343</v>
      </c>
      <c r="S1577" s="114" t="s">
        <v>1654</v>
      </c>
      <c r="T1577" s="114" t="s">
        <v>1682</v>
      </c>
      <c r="U1577" s="113">
        <v>1.365</v>
      </c>
      <c r="X1577" s="113" t="s">
        <v>175</v>
      </c>
      <c r="AB1577" s="113" t="s">
        <v>1594</v>
      </c>
      <c r="AC1577" s="113" t="s">
        <v>698</v>
      </c>
      <c r="AD1577" s="153" t="str">
        <f t="shared" si="280"/>
        <v>Legume</v>
      </c>
      <c r="AE1577" s="113" t="s">
        <v>1637</v>
      </c>
      <c r="AG1577" s="113" t="s">
        <v>1327</v>
      </c>
      <c r="AH1577" s="113" t="s">
        <v>1327</v>
      </c>
      <c r="AI1577" s="113" t="s">
        <v>230</v>
      </c>
      <c r="AM1577" s="113" t="s">
        <v>1341</v>
      </c>
      <c r="AN1577" s="113" t="s">
        <v>1342</v>
      </c>
      <c r="AO1577" s="113" t="s">
        <v>618</v>
      </c>
      <c r="AP1577" s="113" t="s">
        <v>1340</v>
      </c>
      <c r="AQ1577" s="113">
        <v>3</v>
      </c>
      <c r="AR1577" s="113">
        <v>3</v>
      </c>
      <c r="AS1577" s="113" t="s">
        <v>177</v>
      </c>
      <c r="AX1577" s="113" t="s">
        <v>1344</v>
      </c>
      <c r="BK1577" s="113">
        <f>39.9*(1000000/(100*100*0.3*1.365*1000))</f>
        <v>9.7435897435897427</v>
      </c>
      <c r="BL1577" s="113">
        <f>54.1*(1000000/(100*100*0.3*1.365*1000))</f>
        <v>13.21123321123321</v>
      </c>
      <c r="BM1577" s="113" t="s">
        <v>1354</v>
      </c>
      <c r="FA1577" s="113" t="s">
        <v>1348</v>
      </c>
      <c r="FC1577" s="113">
        <v>73</v>
      </c>
    </row>
    <row r="1578" spans="1:159" s="113" customFormat="1" x14ac:dyDescent="0.25">
      <c r="A1578" s="113">
        <v>73</v>
      </c>
      <c r="B1578" s="113" t="s">
        <v>1336</v>
      </c>
      <c r="C1578" s="113" t="s">
        <v>1337</v>
      </c>
      <c r="D1578" s="113">
        <v>2003</v>
      </c>
      <c r="E1578" s="113">
        <v>1996</v>
      </c>
      <c r="F1578" s="113" t="s">
        <v>1338</v>
      </c>
      <c r="G1578" s="113" t="s">
        <v>1368</v>
      </c>
      <c r="H1578" s="113">
        <v>50.29</v>
      </c>
      <c r="I1578" s="113">
        <v>-107.8</v>
      </c>
      <c r="J1578" s="113">
        <v>757</v>
      </c>
      <c r="P1578" s="114" t="s">
        <v>1024</v>
      </c>
      <c r="Q1578" s="114" t="s">
        <v>1335</v>
      </c>
      <c r="R1578" s="114" t="s">
        <v>1343</v>
      </c>
      <c r="S1578" s="114" t="s">
        <v>1654</v>
      </c>
      <c r="T1578" s="114" t="s">
        <v>1682</v>
      </c>
      <c r="U1578" s="113">
        <v>1.365</v>
      </c>
      <c r="X1578" s="113" t="s">
        <v>175</v>
      </c>
      <c r="AB1578" s="113" t="s">
        <v>1594</v>
      </c>
      <c r="AC1578" s="113" t="s">
        <v>698</v>
      </c>
      <c r="AD1578" s="153" t="str">
        <f t="shared" si="280"/>
        <v>Legume</v>
      </c>
      <c r="AE1578" s="113" t="s">
        <v>1637</v>
      </c>
      <c r="AG1578" s="113" t="s">
        <v>1327</v>
      </c>
      <c r="AH1578" s="113" t="s">
        <v>1327</v>
      </c>
      <c r="AI1578" s="113" t="s">
        <v>230</v>
      </c>
      <c r="AM1578" s="113" t="s">
        <v>1341</v>
      </c>
      <c r="AN1578" s="113" t="s">
        <v>1342</v>
      </c>
      <c r="AO1578" s="113" t="s">
        <v>618</v>
      </c>
      <c r="AP1578" s="113" t="s">
        <v>1340</v>
      </c>
      <c r="AQ1578" s="113">
        <v>3</v>
      </c>
      <c r="AR1578" s="113">
        <v>3</v>
      </c>
      <c r="AS1578" s="113" t="s">
        <v>177</v>
      </c>
      <c r="AX1578" s="113" t="s">
        <v>1344</v>
      </c>
      <c r="BK1578" s="113">
        <f>29.2*(1000000/(100*100*0.3*1.365*1000))</f>
        <v>7.1306471306471302</v>
      </c>
      <c r="BL1578" s="113">
        <f>54.6*(1000000/(100*100*0.3*1.365*1000))</f>
        <v>13.333333333333334</v>
      </c>
      <c r="BM1578" s="113" t="s">
        <v>1354</v>
      </c>
      <c r="FA1578" s="113" t="s">
        <v>1348</v>
      </c>
      <c r="FC1578" s="113">
        <v>73</v>
      </c>
    </row>
    <row r="1579" spans="1:159" s="113" customFormat="1" x14ac:dyDescent="0.25">
      <c r="A1579" s="113">
        <v>73</v>
      </c>
      <c r="B1579" s="113" t="s">
        <v>1336</v>
      </c>
      <c r="C1579" s="113" t="s">
        <v>1337</v>
      </c>
      <c r="D1579" s="113">
        <v>2003</v>
      </c>
      <c r="E1579" s="113">
        <v>1997</v>
      </c>
      <c r="F1579" s="113" t="s">
        <v>1338</v>
      </c>
      <c r="G1579" s="113" t="s">
        <v>1368</v>
      </c>
      <c r="H1579" s="113">
        <v>50.29</v>
      </c>
      <c r="I1579" s="113">
        <v>-107.8</v>
      </c>
      <c r="J1579" s="113">
        <v>757</v>
      </c>
      <c r="P1579" s="114" t="s">
        <v>1242</v>
      </c>
      <c r="Q1579" s="114" t="s">
        <v>1335</v>
      </c>
      <c r="R1579" s="114" t="s">
        <v>1343</v>
      </c>
      <c r="S1579" s="114" t="s">
        <v>1654</v>
      </c>
      <c r="T1579" s="114" t="s">
        <v>1682</v>
      </c>
      <c r="U1579" s="113">
        <v>1.365</v>
      </c>
      <c r="X1579" s="113" t="s">
        <v>175</v>
      </c>
      <c r="AB1579" s="113" t="s">
        <v>1594</v>
      </c>
      <c r="AC1579" s="113" t="s">
        <v>698</v>
      </c>
      <c r="AD1579" s="153" t="str">
        <f t="shared" si="280"/>
        <v>Legume</v>
      </c>
      <c r="AE1579" s="113" t="s">
        <v>1637</v>
      </c>
      <c r="AG1579" s="113" t="s">
        <v>1327</v>
      </c>
      <c r="AH1579" s="113" t="s">
        <v>1327</v>
      </c>
      <c r="AI1579" s="113" t="s">
        <v>230</v>
      </c>
      <c r="AM1579" s="113" t="s">
        <v>1341</v>
      </c>
      <c r="AN1579" s="113" t="s">
        <v>1342</v>
      </c>
      <c r="AO1579" s="113" t="s">
        <v>618</v>
      </c>
      <c r="AP1579" s="113" t="s">
        <v>1340</v>
      </c>
      <c r="AQ1579" s="113">
        <v>3</v>
      </c>
      <c r="AR1579" s="113">
        <v>3</v>
      </c>
      <c r="AS1579" s="113" t="s">
        <v>177</v>
      </c>
      <c r="AX1579" s="113" t="s">
        <v>1344</v>
      </c>
      <c r="BK1579" s="113">
        <f>18.4*(1000000/(100*100*0.3*1.365*1000))</f>
        <v>4.4932844932844924</v>
      </c>
      <c r="BL1579" s="113">
        <f>24.9*(1000000/(100*100*0.3*1.365*1000))</f>
        <v>6.0805860805860803</v>
      </c>
      <c r="BM1579" s="113" t="s">
        <v>1354</v>
      </c>
      <c r="FA1579" s="113" t="s">
        <v>1348</v>
      </c>
      <c r="FC1579" s="113">
        <v>73</v>
      </c>
    </row>
    <row r="1580" spans="1:159" s="113" customFormat="1" x14ac:dyDescent="0.25">
      <c r="A1580" s="113">
        <v>73</v>
      </c>
      <c r="B1580" s="113" t="s">
        <v>1336</v>
      </c>
      <c r="C1580" s="113" t="s">
        <v>1337</v>
      </c>
      <c r="D1580" s="113">
        <v>2003</v>
      </c>
      <c r="E1580" s="113">
        <v>1998</v>
      </c>
      <c r="F1580" s="113" t="s">
        <v>1338</v>
      </c>
      <c r="G1580" s="113" t="s">
        <v>1368</v>
      </c>
      <c r="H1580" s="113">
        <v>50.29</v>
      </c>
      <c r="I1580" s="113">
        <v>-107.8</v>
      </c>
      <c r="J1580" s="113">
        <v>757</v>
      </c>
      <c r="P1580" s="114" t="s">
        <v>1025</v>
      </c>
      <c r="Q1580" s="114" t="s">
        <v>1335</v>
      </c>
      <c r="R1580" s="114" t="s">
        <v>1343</v>
      </c>
      <c r="S1580" s="114" t="s">
        <v>1654</v>
      </c>
      <c r="T1580" s="114" t="s">
        <v>1682</v>
      </c>
      <c r="U1580" s="113">
        <v>1.365</v>
      </c>
      <c r="X1580" s="113" t="s">
        <v>175</v>
      </c>
      <c r="AB1580" s="113" t="s">
        <v>1594</v>
      </c>
      <c r="AC1580" s="113" t="s">
        <v>698</v>
      </c>
      <c r="AD1580" s="153" t="str">
        <f t="shared" si="280"/>
        <v>Legume</v>
      </c>
      <c r="AE1580" s="113" t="s">
        <v>1637</v>
      </c>
      <c r="AG1580" s="113" t="s">
        <v>1327</v>
      </c>
      <c r="AH1580" s="113" t="s">
        <v>1327</v>
      </c>
      <c r="AI1580" s="113" t="s">
        <v>230</v>
      </c>
      <c r="AM1580" s="113" t="s">
        <v>1341</v>
      </c>
      <c r="AN1580" s="113" t="s">
        <v>1342</v>
      </c>
      <c r="AO1580" s="113" t="s">
        <v>618</v>
      </c>
      <c r="AP1580" s="113" t="s">
        <v>1340</v>
      </c>
      <c r="AQ1580" s="113">
        <v>3</v>
      </c>
      <c r="AR1580" s="113">
        <v>3</v>
      </c>
      <c r="AS1580" s="113" t="s">
        <v>177</v>
      </c>
      <c r="AX1580" s="113" t="s">
        <v>1344</v>
      </c>
      <c r="BK1580" s="113">
        <f>55*(1000000/(100*100*0.3*1.365*1000))</f>
        <v>13.431013431013431</v>
      </c>
      <c r="BL1580" s="113">
        <f>65.7*(1000000/(100*100*0.3*1.365*1000))</f>
        <v>16.043956043956044</v>
      </c>
      <c r="BM1580" s="113" t="s">
        <v>1354</v>
      </c>
      <c r="FA1580" s="113" t="s">
        <v>1348</v>
      </c>
      <c r="FC1580" s="113">
        <v>73</v>
      </c>
    </row>
    <row r="1581" spans="1:159" s="113" customFormat="1" x14ac:dyDescent="0.25">
      <c r="A1581" s="113">
        <v>73</v>
      </c>
      <c r="B1581" s="113" t="s">
        <v>1336</v>
      </c>
      <c r="C1581" s="113" t="s">
        <v>1337</v>
      </c>
      <c r="D1581" s="113">
        <v>2003</v>
      </c>
      <c r="E1581" s="113">
        <v>1999</v>
      </c>
      <c r="F1581" s="113" t="s">
        <v>1338</v>
      </c>
      <c r="G1581" s="113" t="s">
        <v>1368</v>
      </c>
      <c r="H1581" s="113">
        <v>50.29</v>
      </c>
      <c r="I1581" s="113">
        <v>-107.8</v>
      </c>
      <c r="J1581" s="113">
        <v>757</v>
      </c>
      <c r="P1581" s="114" t="s">
        <v>1026</v>
      </c>
      <c r="Q1581" s="114" t="s">
        <v>1335</v>
      </c>
      <c r="R1581" s="114" t="s">
        <v>1343</v>
      </c>
      <c r="S1581" s="114" t="s">
        <v>1654</v>
      </c>
      <c r="T1581" s="114" t="s">
        <v>1682</v>
      </c>
      <c r="U1581" s="113">
        <v>1.365</v>
      </c>
      <c r="X1581" s="113" t="s">
        <v>175</v>
      </c>
      <c r="AB1581" s="113" t="s">
        <v>1594</v>
      </c>
      <c r="AC1581" s="113" t="s">
        <v>698</v>
      </c>
      <c r="AD1581" s="153" t="str">
        <f t="shared" si="280"/>
        <v>Legume</v>
      </c>
      <c r="AE1581" s="113" t="s">
        <v>1637</v>
      </c>
      <c r="AG1581" s="113" t="s">
        <v>1327</v>
      </c>
      <c r="AH1581" s="113" t="s">
        <v>1327</v>
      </c>
      <c r="AI1581" s="113" t="s">
        <v>230</v>
      </c>
      <c r="AM1581" s="113" t="s">
        <v>1341</v>
      </c>
      <c r="AN1581" s="113" t="s">
        <v>1342</v>
      </c>
      <c r="AO1581" s="113" t="s">
        <v>618</v>
      </c>
      <c r="AP1581" s="113" t="s">
        <v>1340</v>
      </c>
      <c r="AQ1581" s="113">
        <v>3</v>
      </c>
      <c r="AR1581" s="113">
        <v>3</v>
      </c>
      <c r="AS1581" s="113" t="s">
        <v>177</v>
      </c>
      <c r="AX1581" s="113" t="s">
        <v>1344</v>
      </c>
      <c r="BK1581" s="113">
        <f>42.9*(1000000/(100*100*0.3*1.365*1000))</f>
        <v>10.476190476190476</v>
      </c>
      <c r="BL1581" s="113">
        <f>54*(1000000/(100*100*0.3*1.365*1000))</f>
        <v>13.186813186813186</v>
      </c>
      <c r="BM1581" s="113" t="s">
        <v>1354</v>
      </c>
      <c r="FA1581" s="113" t="s">
        <v>1348</v>
      </c>
      <c r="FC1581" s="113">
        <v>73</v>
      </c>
    </row>
    <row r="1582" spans="1:159" s="115" customFormat="1" x14ac:dyDescent="0.25">
      <c r="A1582" s="115">
        <v>73</v>
      </c>
      <c r="B1582" s="115" t="s">
        <v>1336</v>
      </c>
      <c r="C1582" s="115" t="s">
        <v>1337</v>
      </c>
      <c r="D1582" s="115">
        <v>2003</v>
      </c>
      <c r="E1582" s="115">
        <v>1988</v>
      </c>
      <c r="F1582" s="115" t="s">
        <v>1338</v>
      </c>
      <c r="G1582" s="115" t="s">
        <v>1368</v>
      </c>
      <c r="H1582" s="115">
        <v>50.29</v>
      </c>
      <c r="I1582" s="115">
        <v>-107.8</v>
      </c>
      <c r="J1582" s="115">
        <v>757</v>
      </c>
      <c r="P1582" s="116" t="s">
        <v>179</v>
      </c>
      <c r="Q1582" s="116" t="s">
        <v>1335</v>
      </c>
      <c r="R1582" s="116" t="s">
        <v>1343</v>
      </c>
      <c r="S1582" s="116" t="s">
        <v>1667</v>
      </c>
      <c r="T1582" s="116" t="s">
        <v>1682</v>
      </c>
      <c r="U1582" s="115">
        <v>1.41</v>
      </c>
      <c r="X1582" s="115" t="s">
        <v>175</v>
      </c>
      <c r="AB1582" s="115" t="s">
        <v>1594</v>
      </c>
      <c r="AC1582" s="115" t="s">
        <v>698</v>
      </c>
      <c r="AD1582" s="153" t="str">
        <f t="shared" si="280"/>
        <v>Legume</v>
      </c>
      <c r="AE1582" s="115" t="s">
        <v>1637</v>
      </c>
      <c r="AG1582" s="115" t="s">
        <v>1327</v>
      </c>
      <c r="AH1582" s="115" t="s">
        <v>1327</v>
      </c>
      <c r="AI1582" s="115" t="s">
        <v>230</v>
      </c>
      <c r="AM1582" s="115" t="s">
        <v>1341</v>
      </c>
      <c r="AN1582" s="115" t="s">
        <v>1342</v>
      </c>
      <c r="AO1582" s="115" t="s">
        <v>618</v>
      </c>
      <c r="AP1582" s="115" t="s">
        <v>1340</v>
      </c>
      <c r="AQ1582" s="115">
        <v>3</v>
      </c>
      <c r="AR1582" s="115">
        <v>3</v>
      </c>
      <c r="AS1582" s="115" t="s">
        <v>177</v>
      </c>
      <c r="AX1582" s="115" t="s">
        <v>1344</v>
      </c>
      <c r="BK1582" s="115">
        <f>26.9*(1000000/(100*100*0.3*1.41*1000))</f>
        <v>6.3593380614657207</v>
      </c>
      <c r="BL1582" s="115">
        <f>(1000000/(100*100*0.3*1.41*1000))*15.8</f>
        <v>3.7352245862884166</v>
      </c>
      <c r="BM1582" s="115" t="s">
        <v>1354</v>
      </c>
      <c r="FA1582" s="115" t="s">
        <v>1348</v>
      </c>
      <c r="FC1582" s="115">
        <v>73</v>
      </c>
    </row>
    <row r="1583" spans="1:159" s="115" customFormat="1" x14ac:dyDescent="0.25">
      <c r="A1583" s="115">
        <v>73</v>
      </c>
      <c r="B1583" s="115" t="s">
        <v>1336</v>
      </c>
      <c r="C1583" s="115" t="s">
        <v>1337</v>
      </c>
      <c r="D1583" s="115">
        <v>2003</v>
      </c>
      <c r="E1583" s="115">
        <v>1989</v>
      </c>
      <c r="F1583" s="115" t="s">
        <v>1338</v>
      </c>
      <c r="G1583" s="115" t="s">
        <v>1368</v>
      </c>
      <c r="H1583" s="115">
        <v>50.29</v>
      </c>
      <c r="I1583" s="115">
        <v>-107.8</v>
      </c>
      <c r="J1583" s="115">
        <v>757</v>
      </c>
      <c r="P1583" s="116" t="s">
        <v>180</v>
      </c>
      <c r="Q1583" s="116" t="s">
        <v>1335</v>
      </c>
      <c r="R1583" s="116" t="s">
        <v>1343</v>
      </c>
      <c r="S1583" s="116" t="s">
        <v>1667</v>
      </c>
      <c r="T1583" s="116" t="s">
        <v>1682</v>
      </c>
      <c r="U1583" s="115">
        <v>1.41</v>
      </c>
      <c r="X1583" s="115" t="s">
        <v>175</v>
      </c>
      <c r="AB1583" s="115" t="s">
        <v>1594</v>
      </c>
      <c r="AC1583" s="115" t="s">
        <v>698</v>
      </c>
      <c r="AD1583" s="153" t="str">
        <f t="shared" si="280"/>
        <v>Legume</v>
      </c>
      <c r="AE1583" s="115" t="s">
        <v>1637</v>
      </c>
      <c r="AG1583" s="115" t="s">
        <v>1327</v>
      </c>
      <c r="AH1583" s="115" t="s">
        <v>1327</v>
      </c>
      <c r="AI1583" s="115" t="s">
        <v>230</v>
      </c>
      <c r="AM1583" s="115" t="s">
        <v>1341</v>
      </c>
      <c r="AN1583" s="115" t="s">
        <v>1342</v>
      </c>
      <c r="AO1583" s="115" t="s">
        <v>618</v>
      </c>
      <c r="AP1583" s="115" t="s">
        <v>1340</v>
      </c>
      <c r="AQ1583" s="115">
        <v>3</v>
      </c>
      <c r="AR1583" s="115">
        <v>3</v>
      </c>
      <c r="AS1583" s="115" t="s">
        <v>177</v>
      </c>
      <c r="AX1583" s="115" t="s">
        <v>1344</v>
      </c>
      <c r="BK1583" s="115">
        <f>65.2*(1000000/(100*100*0.3*1.41*1000))</f>
        <v>15.413711583924352</v>
      </c>
      <c r="BL1583" s="115">
        <f>(1000000/(100*100*0.3*1.41*1000))*19.1</f>
        <v>4.5153664302600474</v>
      </c>
      <c r="BM1583" s="115" t="s">
        <v>1354</v>
      </c>
      <c r="FA1583" s="115" t="s">
        <v>1348</v>
      </c>
      <c r="FC1583" s="115">
        <v>73</v>
      </c>
    </row>
    <row r="1584" spans="1:159" s="115" customFormat="1" x14ac:dyDescent="0.25">
      <c r="A1584" s="115">
        <v>73</v>
      </c>
      <c r="B1584" s="115" t="s">
        <v>1336</v>
      </c>
      <c r="C1584" s="115" t="s">
        <v>1337</v>
      </c>
      <c r="D1584" s="115">
        <v>2003</v>
      </c>
      <c r="E1584" s="115">
        <v>1990</v>
      </c>
      <c r="F1584" s="115" t="s">
        <v>1338</v>
      </c>
      <c r="G1584" s="115" t="s">
        <v>1368</v>
      </c>
      <c r="H1584" s="115">
        <v>50.29</v>
      </c>
      <c r="I1584" s="115">
        <v>-107.8</v>
      </c>
      <c r="J1584" s="115">
        <v>757</v>
      </c>
      <c r="P1584" s="116" t="s">
        <v>181</v>
      </c>
      <c r="Q1584" s="116" t="s">
        <v>1335</v>
      </c>
      <c r="R1584" s="116" t="s">
        <v>1343</v>
      </c>
      <c r="S1584" s="116" t="s">
        <v>1667</v>
      </c>
      <c r="T1584" s="116" t="s">
        <v>1682</v>
      </c>
      <c r="U1584" s="115">
        <v>1.41</v>
      </c>
      <c r="X1584" s="115" t="s">
        <v>175</v>
      </c>
      <c r="AB1584" s="115" t="s">
        <v>1594</v>
      </c>
      <c r="AC1584" s="115" t="s">
        <v>698</v>
      </c>
      <c r="AD1584" s="153" t="str">
        <f t="shared" si="280"/>
        <v>Legume</v>
      </c>
      <c r="AE1584" s="115" t="s">
        <v>1637</v>
      </c>
      <c r="AG1584" s="115" t="s">
        <v>1327</v>
      </c>
      <c r="AH1584" s="115" t="s">
        <v>1327</v>
      </c>
      <c r="AI1584" s="115" t="s">
        <v>230</v>
      </c>
      <c r="AM1584" s="115" t="s">
        <v>1341</v>
      </c>
      <c r="AN1584" s="115" t="s">
        <v>1342</v>
      </c>
      <c r="AO1584" s="115" t="s">
        <v>618</v>
      </c>
      <c r="AP1584" s="115" t="s">
        <v>1340</v>
      </c>
      <c r="AQ1584" s="115">
        <v>3</v>
      </c>
      <c r="AR1584" s="115">
        <v>3</v>
      </c>
      <c r="AS1584" s="115" t="s">
        <v>177</v>
      </c>
      <c r="AX1584" s="115" t="s">
        <v>1344</v>
      </c>
      <c r="BK1584" s="115">
        <f>(1000000/(100*100*0.3*1.41*1000))*30.9</f>
        <v>7.3049645390070923</v>
      </c>
      <c r="BL1584" s="115">
        <f>(1000000/(100*100*0.3*1.41*1000))*32.1</f>
        <v>7.5886524822695041</v>
      </c>
      <c r="BM1584" s="115" t="s">
        <v>1354</v>
      </c>
      <c r="FA1584" s="115" t="s">
        <v>1348</v>
      </c>
      <c r="FC1584" s="115">
        <v>73</v>
      </c>
    </row>
    <row r="1585" spans="1:159" s="115" customFormat="1" x14ac:dyDescent="0.25">
      <c r="A1585" s="115">
        <v>73</v>
      </c>
      <c r="B1585" s="115" t="s">
        <v>1336</v>
      </c>
      <c r="C1585" s="115" t="s">
        <v>1337</v>
      </c>
      <c r="D1585" s="115">
        <v>2003</v>
      </c>
      <c r="E1585" s="115">
        <v>1991</v>
      </c>
      <c r="F1585" s="115" t="s">
        <v>1338</v>
      </c>
      <c r="G1585" s="115" t="s">
        <v>1368</v>
      </c>
      <c r="H1585" s="115">
        <v>50.29</v>
      </c>
      <c r="I1585" s="115">
        <v>-107.8</v>
      </c>
      <c r="J1585" s="115">
        <v>757</v>
      </c>
      <c r="P1585" s="116" t="s">
        <v>182</v>
      </c>
      <c r="Q1585" s="116" t="s">
        <v>1335</v>
      </c>
      <c r="R1585" s="116" t="s">
        <v>1343</v>
      </c>
      <c r="S1585" s="116" t="s">
        <v>1667</v>
      </c>
      <c r="T1585" s="116" t="s">
        <v>1682</v>
      </c>
      <c r="U1585" s="115">
        <v>1.41</v>
      </c>
      <c r="X1585" s="115" t="s">
        <v>175</v>
      </c>
      <c r="AB1585" s="115" t="s">
        <v>1594</v>
      </c>
      <c r="AC1585" s="115" t="s">
        <v>698</v>
      </c>
      <c r="AD1585" s="153" t="str">
        <f t="shared" si="280"/>
        <v>Legume</v>
      </c>
      <c r="AE1585" s="115" t="s">
        <v>1637</v>
      </c>
      <c r="AG1585" s="115" t="s">
        <v>1327</v>
      </c>
      <c r="AH1585" s="115" t="s">
        <v>1327</v>
      </c>
      <c r="AI1585" s="115" t="s">
        <v>230</v>
      </c>
      <c r="AM1585" s="115" t="s">
        <v>1341</v>
      </c>
      <c r="AN1585" s="115" t="s">
        <v>1342</v>
      </c>
      <c r="AO1585" s="115" t="s">
        <v>618</v>
      </c>
      <c r="AP1585" s="115" t="s">
        <v>1340</v>
      </c>
      <c r="AQ1585" s="115">
        <v>3</v>
      </c>
      <c r="AR1585" s="115">
        <v>3</v>
      </c>
      <c r="AS1585" s="115" t="s">
        <v>177</v>
      </c>
      <c r="AX1585" s="115" t="s">
        <v>1344</v>
      </c>
      <c r="BK1585" s="115">
        <f>(1000000/(100*100*0.3*1.41*1000))*25.2</f>
        <v>5.957446808510638</v>
      </c>
      <c r="BL1585" s="115">
        <f>(1000000/(100*100*0.3*1.41*1000))*27.9</f>
        <v>6.5957446808510634</v>
      </c>
      <c r="BM1585" s="115" t="s">
        <v>1354</v>
      </c>
      <c r="FA1585" s="115" t="s">
        <v>1348</v>
      </c>
      <c r="FC1585" s="115">
        <v>73</v>
      </c>
    </row>
    <row r="1586" spans="1:159" s="115" customFormat="1" x14ac:dyDescent="0.25">
      <c r="A1586" s="115">
        <v>73</v>
      </c>
      <c r="B1586" s="115" t="s">
        <v>1336</v>
      </c>
      <c r="C1586" s="115" t="s">
        <v>1337</v>
      </c>
      <c r="D1586" s="115">
        <v>2003</v>
      </c>
      <c r="E1586" s="115">
        <v>1992</v>
      </c>
      <c r="F1586" s="115" t="s">
        <v>1338</v>
      </c>
      <c r="G1586" s="115" t="s">
        <v>1368</v>
      </c>
      <c r="H1586" s="115">
        <v>50.29</v>
      </c>
      <c r="I1586" s="115">
        <v>-107.8</v>
      </c>
      <c r="J1586" s="115">
        <v>757</v>
      </c>
      <c r="P1586" s="116" t="s">
        <v>183</v>
      </c>
      <c r="Q1586" s="116" t="s">
        <v>1335</v>
      </c>
      <c r="R1586" s="116" t="s">
        <v>1343</v>
      </c>
      <c r="S1586" s="116" t="s">
        <v>1667</v>
      </c>
      <c r="T1586" s="116" t="s">
        <v>1682</v>
      </c>
      <c r="U1586" s="115">
        <v>1.41</v>
      </c>
      <c r="X1586" s="115" t="s">
        <v>175</v>
      </c>
      <c r="AB1586" s="115" t="s">
        <v>1594</v>
      </c>
      <c r="AC1586" s="115" t="s">
        <v>698</v>
      </c>
      <c r="AD1586" s="153" t="str">
        <f t="shared" si="280"/>
        <v>Legume</v>
      </c>
      <c r="AE1586" s="115" t="s">
        <v>1637</v>
      </c>
      <c r="AG1586" s="115" t="s">
        <v>1327</v>
      </c>
      <c r="AH1586" s="115" t="s">
        <v>1327</v>
      </c>
      <c r="AI1586" s="115" t="s">
        <v>230</v>
      </c>
      <c r="AM1586" s="115" t="s">
        <v>1341</v>
      </c>
      <c r="AN1586" s="115" t="s">
        <v>1342</v>
      </c>
      <c r="AO1586" s="115" t="s">
        <v>618</v>
      </c>
      <c r="AP1586" s="115" t="s">
        <v>1340</v>
      </c>
      <c r="AQ1586" s="115">
        <v>3</v>
      </c>
      <c r="AR1586" s="115">
        <v>3</v>
      </c>
      <c r="AS1586" s="115" t="s">
        <v>177</v>
      </c>
      <c r="AX1586" s="115" t="s">
        <v>1344</v>
      </c>
      <c r="BK1586" s="115">
        <f>(1000000/(100*100*0.3*1.41*1000))*17.8</f>
        <v>4.208037825059102</v>
      </c>
      <c r="BL1586" s="115">
        <f>(1000000/(100*100*0.3*1.41*1000))*11.1</f>
        <v>2.624113475177305</v>
      </c>
      <c r="BM1586" s="115" t="s">
        <v>1354</v>
      </c>
      <c r="FA1586" s="115" t="s">
        <v>1348</v>
      </c>
      <c r="FC1586" s="115">
        <v>73</v>
      </c>
    </row>
    <row r="1587" spans="1:159" s="115" customFormat="1" x14ac:dyDescent="0.25">
      <c r="A1587" s="115">
        <v>73</v>
      </c>
      <c r="B1587" s="115" t="s">
        <v>1336</v>
      </c>
      <c r="C1587" s="115" t="s">
        <v>1337</v>
      </c>
      <c r="D1587" s="115">
        <v>2003</v>
      </c>
      <c r="E1587" s="115">
        <v>1993</v>
      </c>
      <c r="F1587" s="115" t="s">
        <v>1338</v>
      </c>
      <c r="G1587" s="115" t="s">
        <v>1368</v>
      </c>
      <c r="H1587" s="115">
        <v>50.29</v>
      </c>
      <c r="I1587" s="115">
        <v>-107.8</v>
      </c>
      <c r="J1587" s="115">
        <v>757</v>
      </c>
      <c r="P1587" s="116" t="s">
        <v>200</v>
      </c>
      <c r="Q1587" s="116" t="s">
        <v>1335</v>
      </c>
      <c r="R1587" s="116" t="s">
        <v>1343</v>
      </c>
      <c r="S1587" s="116" t="s">
        <v>1667</v>
      </c>
      <c r="T1587" s="116" t="s">
        <v>1682</v>
      </c>
      <c r="U1587" s="115">
        <v>1.41</v>
      </c>
      <c r="X1587" s="115" t="s">
        <v>175</v>
      </c>
      <c r="AB1587" s="115" t="s">
        <v>1594</v>
      </c>
      <c r="AC1587" s="115" t="s">
        <v>698</v>
      </c>
      <c r="AD1587" s="153" t="str">
        <f t="shared" si="280"/>
        <v>Legume</v>
      </c>
      <c r="AE1587" s="115" t="s">
        <v>1637</v>
      </c>
      <c r="AG1587" s="115" t="s">
        <v>1327</v>
      </c>
      <c r="AH1587" s="115" t="s">
        <v>1327</v>
      </c>
      <c r="AI1587" s="115" t="s">
        <v>230</v>
      </c>
      <c r="AM1587" s="115" t="s">
        <v>1341</v>
      </c>
      <c r="AN1587" s="115" t="s">
        <v>1342</v>
      </c>
      <c r="AO1587" s="115" t="s">
        <v>618</v>
      </c>
      <c r="AP1587" s="115" t="s">
        <v>1340</v>
      </c>
      <c r="AQ1587" s="115">
        <v>3</v>
      </c>
      <c r="AR1587" s="115">
        <v>3</v>
      </c>
      <c r="AS1587" s="115" t="s">
        <v>177</v>
      </c>
      <c r="AX1587" s="115" t="s">
        <v>1344</v>
      </c>
      <c r="BK1587" s="115">
        <f>(1000000/(100*100*0.3*1.41*1000))*22.1</f>
        <v>5.2245862884160763</v>
      </c>
      <c r="BL1587" s="115">
        <f>(1000000/(100*100*0.3*1.41*1000))*22.6</f>
        <v>5.3427895981087472</v>
      </c>
      <c r="BM1587" s="115" t="s">
        <v>1354</v>
      </c>
      <c r="FA1587" s="115" t="s">
        <v>1348</v>
      </c>
      <c r="FC1587" s="115">
        <v>73</v>
      </c>
    </row>
    <row r="1588" spans="1:159" s="115" customFormat="1" x14ac:dyDescent="0.25">
      <c r="A1588" s="115">
        <v>73</v>
      </c>
      <c r="B1588" s="115" t="s">
        <v>1336</v>
      </c>
      <c r="C1588" s="115" t="s">
        <v>1337</v>
      </c>
      <c r="D1588" s="115">
        <v>2003</v>
      </c>
      <c r="E1588" s="115">
        <v>1994</v>
      </c>
      <c r="F1588" s="115" t="s">
        <v>1338</v>
      </c>
      <c r="G1588" s="115" t="s">
        <v>1368</v>
      </c>
      <c r="H1588" s="115">
        <v>50.29</v>
      </c>
      <c r="I1588" s="115">
        <v>-107.8</v>
      </c>
      <c r="J1588" s="115">
        <v>757</v>
      </c>
      <c r="P1588" s="116" t="s">
        <v>1022</v>
      </c>
      <c r="Q1588" s="116" t="s">
        <v>1335</v>
      </c>
      <c r="R1588" s="116" t="s">
        <v>1343</v>
      </c>
      <c r="S1588" s="116" t="s">
        <v>1667</v>
      </c>
      <c r="T1588" s="116" t="s">
        <v>1682</v>
      </c>
      <c r="U1588" s="115">
        <v>1.41</v>
      </c>
      <c r="X1588" s="115" t="s">
        <v>175</v>
      </c>
      <c r="AB1588" s="115" t="s">
        <v>1594</v>
      </c>
      <c r="AC1588" s="115" t="s">
        <v>698</v>
      </c>
      <c r="AD1588" s="153" t="str">
        <f t="shared" si="280"/>
        <v>Legume</v>
      </c>
      <c r="AE1588" s="115" t="s">
        <v>1637</v>
      </c>
      <c r="AG1588" s="115" t="s">
        <v>1327</v>
      </c>
      <c r="AH1588" s="115" t="s">
        <v>1327</v>
      </c>
      <c r="AI1588" s="115" t="s">
        <v>230</v>
      </c>
      <c r="AM1588" s="115" t="s">
        <v>1341</v>
      </c>
      <c r="AN1588" s="115" t="s">
        <v>1342</v>
      </c>
      <c r="AO1588" s="115" t="s">
        <v>618</v>
      </c>
      <c r="AP1588" s="115" t="s">
        <v>1340</v>
      </c>
      <c r="AQ1588" s="115">
        <v>3</v>
      </c>
      <c r="AR1588" s="115">
        <v>3</v>
      </c>
      <c r="AS1588" s="115" t="s">
        <v>177</v>
      </c>
      <c r="AX1588" s="115" t="s">
        <v>1344</v>
      </c>
      <c r="BK1588" s="115">
        <f>(1000000/(100*100*0.3*1.41*1000))*9</f>
        <v>2.1276595744680851</v>
      </c>
      <c r="BL1588" s="115">
        <f>(1000000/(100*100*0.3*1.41*1000))*14.6</f>
        <v>3.4515366430260048</v>
      </c>
      <c r="BM1588" s="115" t="s">
        <v>1354</v>
      </c>
      <c r="FA1588" s="115" t="s">
        <v>1348</v>
      </c>
      <c r="FC1588" s="115">
        <v>73</v>
      </c>
    </row>
    <row r="1589" spans="1:159" s="115" customFormat="1" x14ac:dyDescent="0.25">
      <c r="A1589" s="115">
        <v>73</v>
      </c>
      <c r="B1589" s="115" t="s">
        <v>1336</v>
      </c>
      <c r="C1589" s="115" t="s">
        <v>1337</v>
      </c>
      <c r="D1589" s="115">
        <v>2003</v>
      </c>
      <c r="E1589" s="115">
        <v>1995</v>
      </c>
      <c r="F1589" s="115" t="s">
        <v>1338</v>
      </c>
      <c r="G1589" s="115" t="s">
        <v>1368</v>
      </c>
      <c r="H1589" s="115">
        <v>50.29</v>
      </c>
      <c r="I1589" s="115">
        <v>-107.8</v>
      </c>
      <c r="J1589" s="115">
        <v>757</v>
      </c>
      <c r="P1589" s="116" t="s">
        <v>1023</v>
      </c>
      <c r="Q1589" s="116" t="s">
        <v>1335</v>
      </c>
      <c r="R1589" s="116" t="s">
        <v>1343</v>
      </c>
      <c r="S1589" s="116" t="s">
        <v>1667</v>
      </c>
      <c r="T1589" s="116" t="s">
        <v>1682</v>
      </c>
      <c r="U1589" s="115">
        <v>1.41</v>
      </c>
      <c r="X1589" s="115" t="s">
        <v>175</v>
      </c>
      <c r="AB1589" s="115" t="s">
        <v>1594</v>
      </c>
      <c r="AC1589" s="115" t="s">
        <v>698</v>
      </c>
      <c r="AD1589" s="153" t="str">
        <f t="shared" si="280"/>
        <v>Legume</v>
      </c>
      <c r="AE1589" s="115" t="s">
        <v>1637</v>
      </c>
      <c r="AG1589" s="115" t="s">
        <v>1327</v>
      </c>
      <c r="AH1589" s="115" t="s">
        <v>1327</v>
      </c>
      <c r="AI1589" s="115" t="s">
        <v>230</v>
      </c>
      <c r="AM1589" s="115" t="s">
        <v>1341</v>
      </c>
      <c r="AN1589" s="115" t="s">
        <v>1342</v>
      </c>
      <c r="AO1589" s="115" t="s">
        <v>618</v>
      </c>
      <c r="AP1589" s="115" t="s">
        <v>1340</v>
      </c>
      <c r="AQ1589" s="115">
        <v>3</v>
      </c>
      <c r="AR1589" s="115">
        <v>3</v>
      </c>
      <c r="AS1589" s="115" t="s">
        <v>177</v>
      </c>
      <c r="AX1589" s="115" t="s">
        <v>1344</v>
      </c>
      <c r="BK1589" s="115">
        <f>(1000000/(100*100*0.3*1.41*1000))*16.9</f>
        <v>3.9952718676122929</v>
      </c>
      <c r="BL1589" s="115">
        <f>(1000000/(100*100*0.3*1.41*1000))*15.8</f>
        <v>3.7352245862884166</v>
      </c>
      <c r="BM1589" s="115" t="s">
        <v>1354</v>
      </c>
      <c r="FA1589" s="115" t="s">
        <v>1348</v>
      </c>
      <c r="FC1589" s="115">
        <v>73</v>
      </c>
    </row>
    <row r="1590" spans="1:159" s="115" customFormat="1" x14ac:dyDescent="0.25">
      <c r="A1590" s="115">
        <v>73</v>
      </c>
      <c r="B1590" s="115" t="s">
        <v>1336</v>
      </c>
      <c r="C1590" s="115" t="s">
        <v>1337</v>
      </c>
      <c r="D1590" s="115">
        <v>2003</v>
      </c>
      <c r="E1590" s="115">
        <v>1996</v>
      </c>
      <c r="F1590" s="115" t="s">
        <v>1338</v>
      </c>
      <c r="G1590" s="115" t="s">
        <v>1368</v>
      </c>
      <c r="H1590" s="115">
        <v>50.29</v>
      </c>
      <c r="I1590" s="115">
        <v>-107.8</v>
      </c>
      <c r="J1590" s="115">
        <v>757</v>
      </c>
      <c r="P1590" s="116" t="s">
        <v>1024</v>
      </c>
      <c r="Q1590" s="116" t="s">
        <v>1335</v>
      </c>
      <c r="R1590" s="116" t="s">
        <v>1343</v>
      </c>
      <c r="S1590" s="116" t="s">
        <v>1667</v>
      </c>
      <c r="T1590" s="116" t="s">
        <v>1682</v>
      </c>
      <c r="U1590" s="115">
        <v>1.41</v>
      </c>
      <c r="X1590" s="115" t="s">
        <v>175</v>
      </c>
      <c r="AB1590" s="115" t="s">
        <v>1594</v>
      </c>
      <c r="AC1590" s="115" t="s">
        <v>698</v>
      </c>
      <c r="AD1590" s="153" t="str">
        <f t="shared" si="280"/>
        <v>Legume</v>
      </c>
      <c r="AE1590" s="115" t="s">
        <v>1637</v>
      </c>
      <c r="AG1590" s="115" t="s">
        <v>1327</v>
      </c>
      <c r="AH1590" s="115" t="s">
        <v>1327</v>
      </c>
      <c r="AI1590" s="115" t="s">
        <v>230</v>
      </c>
      <c r="AM1590" s="115" t="s">
        <v>1341</v>
      </c>
      <c r="AN1590" s="115" t="s">
        <v>1342</v>
      </c>
      <c r="AO1590" s="115" t="s">
        <v>618</v>
      </c>
      <c r="AP1590" s="115" t="s">
        <v>1340</v>
      </c>
      <c r="AQ1590" s="115">
        <v>3</v>
      </c>
      <c r="AR1590" s="115">
        <v>3</v>
      </c>
      <c r="AS1590" s="115" t="s">
        <v>177</v>
      </c>
      <c r="AX1590" s="115" t="s">
        <v>1344</v>
      </c>
      <c r="BK1590" s="115">
        <f>(1000000/(100*100*0.3*1.41*1000))*16.6</f>
        <v>3.9243498817966906</v>
      </c>
      <c r="BL1590" s="115">
        <f>(1000000/(100*100*0.3*1.41*1000))*36.1</f>
        <v>8.5342789598108748</v>
      </c>
      <c r="BM1590" s="115" t="s">
        <v>1354</v>
      </c>
      <c r="FA1590" s="115" t="s">
        <v>1348</v>
      </c>
      <c r="FC1590" s="115">
        <v>73</v>
      </c>
    </row>
    <row r="1591" spans="1:159" s="115" customFormat="1" x14ac:dyDescent="0.25">
      <c r="A1591" s="115">
        <v>73</v>
      </c>
      <c r="B1591" s="115" t="s">
        <v>1336</v>
      </c>
      <c r="C1591" s="115" t="s">
        <v>1337</v>
      </c>
      <c r="D1591" s="115">
        <v>2003</v>
      </c>
      <c r="E1591" s="115">
        <v>1997</v>
      </c>
      <c r="F1591" s="115" t="s">
        <v>1338</v>
      </c>
      <c r="G1591" s="115" t="s">
        <v>1368</v>
      </c>
      <c r="H1591" s="115">
        <v>50.29</v>
      </c>
      <c r="I1591" s="115">
        <v>-107.8</v>
      </c>
      <c r="J1591" s="115">
        <v>757</v>
      </c>
      <c r="P1591" s="116" t="s">
        <v>1242</v>
      </c>
      <c r="Q1591" s="116" t="s">
        <v>1335</v>
      </c>
      <c r="R1591" s="116" t="s">
        <v>1343</v>
      </c>
      <c r="S1591" s="116" t="s">
        <v>1667</v>
      </c>
      <c r="T1591" s="116" t="s">
        <v>1682</v>
      </c>
      <c r="U1591" s="115">
        <v>1.41</v>
      </c>
      <c r="X1591" s="115" t="s">
        <v>175</v>
      </c>
      <c r="AB1591" s="115" t="s">
        <v>1594</v>
      </c>
      <c r="AC1591" s="115" t="s">
        <v>698</v>
      </c>
      <c r="AD1591" s="153" t="str">
        <f t="shared" si="280"/>
        <v>Legume</v>
      </c>
      <c r="AE1591" s="115" t="s">
        <v>1637</v>
      </c>
      <c r="AG1591" s="115" t="s">
        <v>1327</v>
      </c>
      <c r="AH1591" s="115" t="s">
        <v>1327</v>
      </c>
      <c r="AI1591" s="115" t="s">
        <v>230</v>
      </c>
      <c r="AM1591" s="115" t="s">
        <v>1341</v>
      </c>
      <c r="AN1591" s="115" t="s">
        <v>1342</v>
      </c>
      <c r="AO1591" s="115" t="s">
        <v>618</v>
      </c>
      <c r="AP1591" s="115" t="s">
        <v>1340</v>
      </c>
      <c r="AQ1591" s="115">
        <v>3</v>
      </c>
      <c r="AR1591" s="115">
        <v>3</v>
      </c>
      <c r="AS1591" s="115" t="s">
        <v>177</v>
      </c>
      <c r="AX1591" s="115" t="s">
        <v>1344</v>
      </c>
      <c r="BK1591" s="115">
        <f>(1000000/(100*100*0.3*1.41*1000))*26.4</f>
        <v>6.2411347517730498</v>
      </c>
      <c r="BL1591" s="115">
        <f>(1000000/(100*100*0.3*1.41*1000))*35.9</f>
        <v>8.4869976359338057</v>
      </c>
      <c r="BM1591" s="115" t="s">
        <v>1354</v>
      </c>
      <c r="FA1591" s="115" t="s">
        <v>1348</v>
      </c>
      <c r="FC1591" s="115">
        <v>73</v>
      </c>
    </row>
    <row r="1592" spans="1:159" s="115" customFormat="1" x14ac:dyDescent="0.25">
      <c r="A1592" s="115">
        <v>73</v>
      </c>
      <c r="B1592" s="115" t="s">
        <v>1336</v>
      </c>
      <c r="C1592" s="115" t="s">
        <v>1337</v>
      </c>
      <c r="D1592" s="115">
        <v>2003</v>
      </c>
      <c r="E1592" s="115">
        <v>1998</v>
      </c>
      <c r="F1592" s="115" t="s">
        <v>1338</v>
      </c>
      <c r="G1592" s="115" t="s">
        <v>1368</v>
      </c>
      <c r="H1592" s="115">
        <v>50.29</v>
      </c>
      <c r="I1592" s="115">
        <v>-107.8</v>
      </c>
      <c r="J1592" s="115">
        <v>757</v>
      </c>
      <c r="P1592" s="116" t="s">
        <v>1025</v>
      </c>
      <c r="Q1592" s="116" t="s">
        <v>1335</v>
      </c>
      <c r="R1592" s="116" t="s">
        <v>1343</v>
      </c>
      <c r="S1592" s="116" t="s">
        <v>1667</v>
      </c>
      <c r="T1592" s="116" t="s">
        <v>1682</v>
      </c>
      <c r="U1592" s="115">
        <v>1.41</v>
      </c>
      <c r="X1592" s="115" t="s">
        <v>175</v>
      </c>
      <c r="AB1592" s="115" t="s">
        <v>1594</v>
      </c>
      <c r="AC1592" s="115" t="s">
        <v>698</v>
      </c>
      <c r="AD1592" s="153" t="str">
        <f t="shared" si="280"/>
        <v>Legume</v>
      </c>
      <c r="AE1592" s="115" t="s">
        <v>1637</v>
      </c>
      <c r="AG1592" s="115" t="s">
        <v>1327</v>
      </c>
      <c r="AH1592" s="115" t="s">
        <v>1327</v>
      </c>
      <c r="AI1592" s="115" t="s">
        <v>230</v>
      </c>
      <c r="AM1592" s="115" t="s">
        <v>1341</v>
      </c>
      <c r="AN1592" s="115" t="s">
        <v>1342</v>
      </c>
      <c r="AO1592" s="115" t="s">
        <v>618</v>
      </c>
      <c r="AP1592" s="115" t="s">
        <v>1340</v>
      </c>
      <c r="AQ1592" s="115">
        <v>3</v>
      </c>
      <c r="AR1592" s="115">
        <v>3</v>
      </c>
      <c r="AS1592" s="115" t="s">
        <v>177</v>
      </c>
      <c r="AX1592" s="115" t="s">
        <v>1344</v>
      </c>
      <c r="BK1592" s="115">
        <f>(1000000/(100*100*0.3*1.41*1000))*18.2</f>
        <v>4.3026004728132383</v>
      </c>
      <c r="BL1592" s="115">
        <f>(1000000/(100*100*0.3*1.41*1000))*21.3</f>
        <v>5.0354609929078018</v>
      </c>
      <c r="BM1592" s="115" t="s">
        <v>1354</v>
      </c>
      <c r="FA1592" s="115" t="s">
        <v>1348</v>
      </c>
      <c r="FC1592" s="115">
        <v>73</v>
      </c>
    </row>
    <row r="1593" spans="1:159" s="115" customFormat="1" x14ac:dyDescent="0.25">
      <c r="A1593" s="115">
        <v>73</v>
      </c>
      <c r="B1593" s="115" t="s">
        <v>1336</v>
      </c>
      <c r="C1593" s="115" t="s">
        <v>1337</v>
      </c>
      <c r="D1593" s="115">
        <v>2003</v>
      </c>
      <c r="E1593" s="115">
        <v>1999</v>
      </c>
      <c r="F1593" s="115" t="s">
        <v>1338</v>
      </c>
      <c r="G1593" s="115" t="s">
        <v>1368</v>
      </c>
      <c r="H1593" s="115">
        <v>50.29</v>
      </c>
      <c r="I1593" s="115">
        <v>-107.8</v>
      </c>
      <c r="J1593" s="115">
        <v>757</v>
      </c>
      <c r="P1593" s="116" t="s">
        <v>1026</v>
      </c>
      <c r="Q1593" s="116" t="s">
        <v>1335</v>
      </c>
      <c r="R1593" s="116" t="s">
        <v>1343</v>
      </c>
      <c r="S1593" s="116" t="s">
        <v>1667</v>
      </c>
      <c r="T1593" s="116" t="s">
        <v>1682</v>
      </c>
      <c r="U1593" s="115">
        <v>1.41</v>
      </c>
      <c r="X1593" s="115" t="s">
        <v>175</v>
      </c>
      <c r="AB1593" s="115" t="s">
        <v>1594</v>
      </c>
      <c r="AC1593" s="115" t="s">
        <v>698</v>
      </c>
      <c r="AD1593" s="153" t="str">
        <f t="shared" si="280"/>
        <v>Legume</v>
      </c>
      <c r="AE1593" s="115" t="s">
        <v>1637</v>
      </c>
      <c r="AG1593" s="115" t="s">
        <v>1327</v>
      </c>
      <c r="AH1593" s="115" t="s">
        <v>1327</v>
      </c>
      <c r="AI1593" s="115" t="s">
        <v>230</v>
      </c>
      <c r="AM1593" s="115" t="s">
        <v>1341</v>
      </c>
      <c r="AN1593" s="115" t="s">
        <v>1342</v>
      </c>
      <c r="AO1593" s="115" t="s">
        <v>618</v>
      </c>
      <c r="AP1593" s="115" t="s">
        <v>1340</v>
      </c>
      <c r="AQ1593" s="115">
        <v>3</v>
      </c>
      <c r="AR1593" s="115">
        <v>3</v>
      </c>
      <c r="AS1593" s="115" t="s">
        <v>177</v>
      </c>
      <c r="AX1593" s="115" t="s">
        <v>1344</v>
      </c>
      <c r="BK1593" s="115">
        <f>(1000000/(100*100*0.3*1.41*1000))*28.1</f>
        <v>6.6430260047281333</v>
      </c>
      <c r="BL1593" s="115">
        <f>(1000000/(100*100*0.3*1.41*1000))*14.3</f>
        <v>3.3806146572104021</v>
      </c>
      <c r="BM1593" s="115" t="s">
        <v>1354</v>
      </c>
      <c r="FA1593" s="115" t="s">
        <v>1348</v>
      </c>
      <c r="FC1593" s="115">
        <v>73</v>
      </c>
    </row>
    <row r="1594" spans="1:159" s="113" customFormat="1" x14ac:dyDescent="0.25">
      <c r="A1594" s="113">
        <v>73</v>
      </c>
      <c r="B1594" s="113" t="s">
        <v>1336</v>
      </c>
      <c r="C1594" s="113" t="s">
        <v>1337</v>
      </c>
      <c r="D1594" s="113">
        <v>2003</v>
      </c>
      <c r="E1594" s="113">
        <v>1988</v>
      </c>
      <c r="F1594" s="113" t="s">
        <v>1338</v>
      </c>
      <c r="G1594" s="113" t="s">
        <v>1368</v>
      </c>
      <c r="H1594" s="113">
        <v>50.29</v>
      </c>
      <c r="I1594" s="113">
        <v>-107.8</v>
      </c>
      <c r="J1594" s="113">
        <v>757</v>
      </c>
      <c r="P1594" s="114" t="s">
        <v>179</v>
      </c>
      <c r="Q1594" s="114" t="s">
        <v>1335</v>
      </c>
      <c r="R1594" s="114" t="s">
        <v>1343</v>
      </c>
      <c r="S1594" s="114" t="s">
        <v>1668</v>
      </c>
      <c r="T1594" s="114" t="s">
        <v>1682</v>
      </c>
      <c r="U1594" s="113">
        <v>1.61</v>
      </c>
      <c r="X1594" s="113" t="s">
        <v>175</v>
      </c>
      <c r="AB1594" s="113" t="s">
        <v>1594</v>
      </c>
      <c r="AC1594" s="113" t="s">
        <v>698</v>
      </c>
      <c r="AD1594" s="153" t="str">
        <f t="shared" si="280"/>
        <v>Legume</v>
      </c>
      <c r="AE1594" s="113" t="s">
        <v>1637</v>
      </c>
      <c r="AG1594" s="113" t="s">
        <v>1327</v>
      </c>
      <c r="AH1594" s="113" t="s">
        <v>1327</v>
      </c>
      <c r="AI1594" s="113" t="s">
        <v>230</v>
      </c>
      <c r="AM1594" s="113" t="s">
        <v>1341</v>
      </c>
      <c r="AN1594" s="113" t="s">
        <v>1342</v>
      </c>
      <c r="AO1594" s="113" t="s">
        <v>618</v>
      </c>
      <c r="AP1594" s="113" t="s">
        <v>1340</v>
      </c>
      <c r="AQ1594" s="113">
        <v>3</v>
      </c>
      <c r="AR1594" s="113">
        <v>3</v>
      </c>
      <c r="AS1594" s="113" t="s">
        <v>177</v>
      </c>
      <c r="AX1594" s="113" t="s">
        <v>1344</v>
      </c>
      <c r="BK1594" s="113">
        <f>(1000000/(100*100*0.3*1.61*1000))*31.7</f>
        <v>6.5631469979296071</v>
      </c>
      <c r="BL1594" s="113">
        <f>(1000000/(100*100*0.3*1.61*1000))*14.3</f>
        <v>2.9606625258799175</v>
      </c>
      <c r="BM1594" s="113" t="s">
        <v>1354</v>
      </c>
      <c r="FA1594" s="113" t="s">
        <v>1348</v>
      </c>
      <c r="FC1594" s="113">
        <v>73</v>
      </c>
    </row>
    <row r="1595" spans="1:159" s="113" customFormat="1" x14ac:dyDescent="0.25">
      <c r="A1595" s="113">
        <v>73</v>
      </c>
      <c r="B1595" s="113" t="s">
        <v>1336</v>
      </c>
      <c r="C1595" s="113" t="s">
        <v>1337</v>
      </c>
      <c r="D1595" s="113">
        <v>2003</v>
      </c>
      <c r="E1595" s="113">
        <v>1989</v>
      </c>
      <c r="F1595" s="113" t="s">
        <v>1338</v>
      </c>
      <c r="G1595" s="113" t="s">
        <v>1368</v>
      </c>
      <c r="H1595" s="113">
        <v>50.29</v>
      </c>
      <c r="I1595" s="113">
        <v>-107.8</v>
      </c>
      <c r="J1595" s="113">
        <v>757</v>
      </c>
      <c r="P1595" s="114" t="s">
        <v>180</v>
      </c>
      <c r="Q1595" s="114" t="s">
        <v>1335</v>
      </c>
      <c r="R1595" s="114" t="s">
        <v>1343</v>
      </c>
      <c r="S1595" s="114" t="s">
        <v>1668</v>
      </c>
      <c r="T1595" s="114" t="s">
        <v>1682</v>
      </c>
      <c r="U1595" s="113">
        <v>1.61</v>
      </c>
      <c r="X1595" s="113" t="s">
        <v>175</v>
      </c>
      <c r="AB1595" s="113" t="s">
        <v>1594</v>
      </c>
      <c r="AC1595" s="113" t="s">
        <v>698</v>
      </c>
      <c r="AD1595" s="153" t="str">
        <f t="shared" si="280"/>
        <v>Legume</v>
      </c>
      <c r="AE1595" s="113" t="s">
        <v>1637</v>
      </c>
      <c r="AG1595" s="113" t="s">
        <v>1327</v>
      </c>
      <c r="AH1595" s="113" t="s">
        <v>1327</v>
      </c>
      <c r="AI1595" s="113" t="s">
        <v>230</v>
      </c>
      <c r="AM1595" s="113" t="s">
        <v>1341</v>
      </c>
      <c r="AN1595" s="113" t="s">
        <v>1342</v>
      </c>
      <c r="AO1595" s="113" t="s">
        <v>618</v>
      </c>
      <c r="AP1595" s="113" t="s">
        <v>1340</v>
      </c>
      <c r="AQ1595" s="113">
        <v>3</v>
      </c>
      <c r="AR1595" s="113">
        <v>3</v>
      </c>
      <c r="AS1595" s="113" t="s">
        <v>177</v>
      </c>
      <c r="AX1595" s="113" t="s">
        <v>1344</v>
      </c>
      <c r="BK1595" s="113">
        <f>(1000000/(100*100*0.3*1.61*1000))*22.1</f>
        <v>4.5755693581780541</v>
      </c>
      <c r="BL1595" s="113">
        <f>(1000000/(100*100*0.3*1.61*1000))*17.2</f>
        <v>3.5610766045548656</v>
      </c>
      <c r="BM1595" s="113" t="s">
        <v>1354</v>
      </c>
      <c r="FA1595" s="113" t="s">
        <v>1348</v>
      </c>
      <c r="FC1595" s="113">
        <v>73</v>
      </c>
    </row>
    <row r="1596" spans="1:159" s="113" customFormat="1" x14ac:dyDescent="0.25">
      <c r="A1596" s="113">
        <v>73</v>
      </c>
      <c r="B1596" s="113" t="s">
        <v>1336</v>
      </c>
      <c r="C1596" s="113" t="s">
        <v>1337</v>
      </c>
      <c r="D1596" s="113">
        <v>2003</v>
      </c>
      <c r="E1596" s="113">
        <v>1990</v>
      </c>
      <c r="F1596" s="113" t="s">
        <v>1338</v>
      </c>
      <c r="G1596" s="113" t="s">
        <v>1368</v>
      </c>
      <c r="H1596" s="113">
        <v>50.29</v>
      </c>
      <c r="I1596" s="113">
        <v>-107.8</v>
      </c>
      <c r="J1596" s="113">
        <v>757</v>
      </c>
      <c r="P1596" s="114" t="s">
        <v>181</v>
      </c>
      <c r="Q1596" s="114" t="s">
        <v>1335</v>
      </c>
      <c r="R1596" s="114" t="s">
        <v>1343</v>
      </c>
      <c r="S1596" s="114" t="s">
        <v>1668</v>
      </c>
      <c r="T1596" s="114" t="s">
        <v>1682</v>
      </c>
      <c r="U1596" s="113">
        <v>1.61</v>
      </c>
      <c r="X1596" s="113" t="s">
        <v>175</v>
      </c>
      <c r="AB1596" s="113" t="s">
        <v>1594</v>
      </c>
      <c r="AC1596" s="113" t="s">
        <v>698</v>
      </c>
      <c r="AD1596" s="153" t="str">
        <f t="shared" si="280"/>
        <v>Legume</v>
      </c>
      <c r="AE1596" s="113" t="s">
        <v>1637</v>
      </c>
      <c r="AG1596" s="113" t="s">
        <v>1327</v>
      </c>
      <c r="AH1596" s="113" t="s">
        <v>1327</v>
      </c>
      <c r="AI1596" s="113" t="s">
        <v>230</v>
      </c>
      <c r="AM1596" s="113" t="s">
        <v>1341</v>
      </c>
      <c r="AN1596" s="113" t="s">
        <v>1342</v>
      </c>
      <c r="AO1596" s="113" t="s">
        <v>618</v>
      </c>
      <c r="AP1596" s="113" t="s">
        <v>1340</v>
      </c>
      <c r="AQ1596" s="113">
        <v>3</v>
      </c>
      <c r="AR1596" s="113">
        <v>3</v>
      </c>
      <c r="AS1596" s="113" t="s">
        <v>177</v>
      </c>
      <c r="AX1596" s="113" t="s">
        <v>1344</v>
      </c>
      <c r="BK1596" s="113">
        <f>(1000000/(100*100*0.3*1.61*1000))*37.6</f>
        <v>7.7846790890269162</v>
      </c>
      <c r="BL1596" s="113">
        <f>(1000000/(100*100*0.3*1.61*1000))*30.6</f>
        <v>6.3354037267080754</v>
      </c>
      <c r="BM1596" s="113" t="s">
        <v>1354</v>
      </c>
      <c r="FA1596" s="113" t="s">
        <v>1348</v>
      </c>
      <c r="FC1596" s="113">
        <v>73</v>
      </c>
    </row>
    <row r="1597" spans="1:159" s="113" customFormat="1" x14ac:dyDescent="0.25">
      <c r="A1597" s="113">
        <v>73</v>
      </c>
      <c r="B1597" s="113" t="s">
        <v>1336</v>
      </c>
      <c r="C1597" s="113" t="s">
        <v>1337</v>
      </c>
      <c r="D1597" s="113">
        <v>2003</v>
      </c>
      <c r="E1597" s="113">
        <v>1991</v>
      </c>
      <c r="F1597" s="113" t="s">
        <v>1338</v>
      </c>
      <c r="G1597" s="113" t="s">
        <v>1368</v>
      </c>
      <c r="H1597" s="113">
        <v>50.29</v>
      </c>
      <c r="I1597" s="113">
        <v>-107.8</v>
      </c>
      <c r="J1597" s="113">
        <v>757</v>
      </c>
      <c r="P1597" s="114" t="s">
        <v>182</v>
      </c>
      <c r="Q1597" s="114" t="s">
        <v>1335</v>
      </c>
      <c r="R1597" s="114" t="s">
        <v>1343</v>
      </c>
      <c r="S1597" s="114" t="s">
        <v>1668</v>
      </c>
      <c r="T1597" s="114" t="s">
        <v>1682</v>
      </c>
      <c r="U1597" s="113">
        <v>1.61</v>
      </c>
      <c r="X1597" s="113" t="s">
        <v>175</v>
      </c>
      <c r="AB1597" s="113" t="s">
        <v>1594</v>
      </c>
      <c r="AC1597" s="113" t="s">
        <v>698</v>
      </c>
      <c r="AD1597" s="153" t="str">
        <f t="shared" si="280"/>
        <v>Legume</v>
      </c>
      <c r="AE1597" s="113" t="s">
        <v>1637</v>
      </c>
      <c r="AG1597" s="113" t="s">
        <v>1327</v>
      </c>
      <c r="AH1597" s="113" t="s">
        <v>1327</v>
      </c>
      <c r="AI1597" s="113" t="s">
        <v>230</v>
      </c>
      <c r="AM1597" s="113" t="s">
        <v>1341</v>
      </c>
      <c r="AN1597" s="113" t="s">
        <v>1342</v>
      </c>
      <c r="AO1597" s="113" t="s">
        <v>618</v>
      </c>
      <c r="AP1597" s="113" t="s">
        <v>1340</v>
      </c>
      <c r="AQ1597" s="113">
        <v>3</v>
      </c>
      <c r="AR1597" s="113">
        <v>3</v>
      </c>
      <c r="AS1597" s="113" t="s">
        <v>177</v>
      </c>
      <c r="AX1597" s="113" t="s">
        <v>1344</v>
      </c>
      <c r="BK1597" s="113">
        <f>(1000000/(100*100*0.3*1.61*1000))*33.6</f>
        <v>6.9565217391304355</v>
      </c>
      <c r="BL1597" s="113">
        <f>(1000000/(100*100*0.3*1.61*1000))*50</f>
        <v>10.351966873706004</v>
      </c>
      <c r="BM1597" s="113" t="s">
        <v>1354</v>
      </c>
      <c r="FA1597" s="113" t="s">
        <v>1348</v>
      </c>
      <c r="FC1597" s="113">
        <v>73</v>
      </c>
    </row>
    <row r="1598" spans="1:159" s="113" customFormat="1" x14ac:dyDescent="0.25">
      <c r="A1598" s="113">
        <v>73</v>
      </c>
      <c r="B1598" s="113" t="s">
        <v>1336</v>
      </c>
      <c r="C1598" s="113" t="s">
        <v>1337</v>
      </c>
      <c r="D1598" s="113">
        <v>2003</v>
      </c>
      <c r="E1598" s="113">
        <v>1992</v>
      </c>
      <c r="F1598" s="113" t="s">
        <v>1338</v>
      </c>
      <c r="G1598" s="113" t="s">
        <v>1368</v>
      </c>
      <c r="H1598" s="113">
        <v>50.29</v>
      </c>
      <c r="I1598" s="113">
        <v>-107.8</v>
      </c>
      <c r="J1598" s="113">
        <v>757</v>
      </c>
      <c r="P1598" s="114" t="s">
        <v>183</v>
      </c>
      <c r="Q1598" s="114" t="s">
        <v>1335</v>
      </c>
      <c r="R1598" s="114" t="s">
        <v>1343</v>
      </c>
      <c r="S1598" s="114" t="s">
        <v>1668</v>
      </c>
      <c r="T1598" s="114" t="s">
        <v>1682</v>
      </c>
      <c r="U1598" s="113">
        <v>1.61</v>
      </c>
      <c r="X1598" s="113" t="s">
        <v>175</v>
      </c>
      <c r="AB1598" s="113" t="s">
        <v>1594</v>
      </c>
      <c r="AC1598" s="113" t="s">
        <v>698</v>
      </c>
      <c r="AD1598" s="153" t="str">
        <f t="shared" si="280"/>
        <v>Legume</v>
      </c>
      <c r="AE1598" s="113" t="s">
        <v>1637</v>
      </c>
      <c r="AG1598" s="113" t="s">
        <v>1327</v>
      </c>
      <c r="AH1598" s="113" t="s">
        <v>1327</v>
      </c>
      <c r="AI1598" s="113" t="s">
        <v>230</v>
      </c>
      <c r="AM1598" s="113" t="s">
        <v>1341</v>
      </c>
      <c r="AN1598" s="113" t="s">
        <v>1342</v>
      </c>
      <c r="AO1598" s="113" t="s">
        <v>618</v>
      </c>
      <c r="AP1598" s="113" t="s">
        <v>1340</v>
      </c>
      <c r="AQ1598" s="113">
        <v>3</v>
      </c>
      <c r="AR1598" s="113">
        <v>3</v>
      </c>
      <c r="AS1598" s="113" t="s">
        <v>177</v>
      </c>
      <c r="AX1598" s="113" t="s">
        <v>1344</v>
      </c>
      <c r="BK1598" s="113">
        <f>(1000000/(100*100*0.3*1.61*1000))*13.4</f>
        <v>2.7743271221532093</v>
      </c>
      <c r="BL1598" s="113">
        <f>(1000000/(100*100*0.3*1.61*1000))*17.6</f>
        <v>3.643892339544514</v>
      </c>
      <c r="BM1598" s="113" t="s">
        <v>1354</v>
      </c>
      <c r="FA1598" s="113" t="s">
        <v>1348</v>
      </c>
      <c r="FC1598" s="113">
        <v>73</v>
      </c>
    </row>
    <row r="1599" spans="1:159" s="113" customFormat="1" x14ac:dyDescent="0.25">
      <c r="A1599" s="113">
        <v>73</v>
      </c>
      <c r="B1599" s="113" t="s">
        <v>1336</v>
      </c>
      <c r="C1599" s="113" t="s">
        <v>1337</v>
      </c>
      <c r="D1599" s="113">
        <v>2003</v>
      </c>
      <c r="E1599" s="113">
        <v>1993</v>
      </c>
      <c r="F1599" s="113" t="s">
        <v>1338</v>
      </c>
      <c r="G1599" s="113" t="s">
        <v>1368</v>
      </c>
      <c r="H1599" s="113">
        <v>50.29</v>
      </c>
      <c r="I1599" s="113">
        <v>-107.8</v>
      </c>
      <c r="J1599" s="113">
        <v>757</v>
      </c>
      <c r="P1599" s="114" t="s">
        <v>200</v>
      </c>
      <c r="Q1599" s="114" t="s">
        <v>1335</v>
      </c>
      <c r="R1599" s="114" t="s">
        <v>1343</v>
      </c>
      <c r="S1599" s="114" t="s">
        <v>1668</v>
      </c>
      <c r="T1599" s="114" t="s">
        <v>1682</v>
      </c>
      <c r="U1599" s="113">
        <v>1.61</v>
      </c>
      <c r="X1599" s="113" t="s">
        <v>175</v>
      </c>
      <c r="AB1599" s="113" t="s">
        <v>1594</v>
      </c>
      <c r="AC1599" s="113" t="s">
        <v>698</v>
      </c>
      <c r="AD1599" s="153" t="str">
        <f t="shared" si="280"/>
        <v>Legume</v>
      </c>
      <c r="AE1599" s="113" t="s">
        <v>1637</v>
      </c>
      <c r="AG1599" s="113" t="s">
        <v>1327</v>
      </c>
      <c r="AH1599" s="113" t="s">
        <v>1327</v>
      </c>
      <c r="AI1599" s="113" t="s">
        <v>230</v>
      </c>
      <c r="AM1599" s="113" t="s">
        <v>1341</v>
      </c>
      <c r="AN1599" s="113" t="s">
        <v>1342</v>
      </c>
      <c r="AO1599" s="113" t="s">
        <v>618</v>
      </c>
      <c r="AP1599" s="113" t="s">
        <v>1340</v>
      </c>
      <c r="AQ1599" s="113">
        <v>3</v>
      </c>
      <c r="AR1599" s="113">
        <v>3</v>
      </c>
      <c r="AS1599" s="113" t="s">
        <v>177</v>
      </c>
      <c r="AX1599" s="113" t="s">
        <v>1344</v>
      </c>
      <c r="BK1599" s="113">
        <f>(1000000/(100*100*0.3*1.61*1000))*15.2</f>
        <v>3.1469979296066253</v>
      </c>
      <c r="BL1599" s="113">
        <f>(1000000/(100*100*0.3*1.61*1000))*11.3</f>
        <v>2.3395445134575574</v>
      </c>
      <c r="BM1599" s="113" t="s">
        <v>1354</v>
      </c>
      <c r="FA1599" s="113" t="s">
        <v>1348</v>
      </c>
      <c r="FC1599" s="113">
        <v>73</v>
      </c>
    </row>
    <row r="1600" spans="1:159" s="113" customFormat="1" x14ac:dyDescent="0.25">
      <c r="A1600" s="113">
        <v>73</v>
      </c>
      <c r="B1600" s="113" t="s">
        <v>1336</v>
      </c>
      <c r="C1600" s="113" t="s">
        <v>1337</v>
      </c>
      <c r="D1600" s="113">
        <v>2003</v>
      </c>
      <c r="E1600" s="113">
        <v>1994</v>
      </c>
      <c r="F1600" s="113" t="s">
        <v>1338</v>
      </c>
      <c r="G1600" s="113" t="s">
        <v>1368</v>
      </c>
      <c r="H1600" s="113">
        <v>50.29</v>
      </c>
      <c r="I1600" s="113">
        <v>-107.8</v>
      </c>
      <c r="J1600" s="113">
        <v>757</v>
      </c>
      <c r="P1600" s="114" t="s">
        <v>1022</v>
      </c>
      <c r="Q1600" s="114" t="s">
        <v>1335</v>
      </c>
      <c r="R1600" s="114" t="s">
        <v>1343</v>
      </c>
      <c r="S1600" s="114" t="s">
        <v>1668</v>
      </c>
      <c r="T1600" s="114" t="s">
        <v>1682</v>
      </c>
      <c r="U1600" s="113">
        <v>1.61</v>
      </c>
      <c r="X1600" s="113" t="s">
        <v>175</v>
      </c>
      <c r="AB1600" s="113" t="s">
        <v>1594</v>
      </c>
      <c r="AC1600" s="113" t="s">
        <v>698</v>
      </c>
      <c r="AD1600" s="153" t="str">
        <f t="shared" si="280"/>
        <v>Legume</v>
      </c>
      <c r="AE1600" s="113" t="s">
        <v>1637</v>
      </c>
      <c r="AG1600" s="113" t="s">
        <v>1327</v>
      </c>
      <c r="AH1600" s="113" t="s">
        <v>1327</v>
      </c>
      <c r="AI1600" s="113" t="s">
        <v>230</v>
      </c>
      <c r="AM1600" s="113" t="s">
        <v>1341</v>
      </c>
      <c r="AN1600" s="113" t="s">
        <v>1342</v>
      </c>
      <c r="AO1600" s="113" t="s">
        <v>618</v>
      </c>
      <c r="AP1600" s="113" t="s">
        <v>1340</v>
      </c>
      <c r="AQ1600" s="113">
        <v>3</v>
      </c>
      <c r="AR1600" s="113">
        <v>3</v>
      </c>
      <c r="AS1600" s="113" t="s">
        <v>177</v>
      </c>
      <c r="AX1600" s="113" t="s">
        <v>1344</v>
      </c>
      <c r="BK1600" s="113">
        <f>(1000000/(100*100*0.3*1.61*1000))*7.7</f>
        <v>1.5942028985507248</v>
      </c>
      <c r="BL1600" s="113">
        <f>(1000000/(100*100*0.3*1.61*1000))*10.7</f>
        <v>2.2153209109730847</v>
      </c>
      <c r="BM1600" s="113" t="s">
        <v>1354</v>
      </c>
      <c r="FA1600" s="113" t="s">
        <v>1348</v>
      </c>
      <c r="FC1600" s="113">
        <v>73</v>
      </c>
    </row>
    <row r="1601" spans="1:159" s="113" customFormat="1" x14ac:dyDescent="0.25">
      <c r="A1601" s="113">
        <v>73</v>
      </c>
      <c r="B1601" s="113" t="s">
        <v>1336</v>
      </c>
      <c r="C1601" s="113" t="s">
        <v>1337</v>
      </c>
      <c r="D1601" s="113">
        <v>2003</v>
      </c>
      <c r="E1601" s="113">
        <v>1995</v>
      </c>
      <c r="F1601" s="113" t="s">
        <v>1338</v>
      </c>
      <c r="G1601" s="113" t="s">
        <v>1368</v>
      </c>
      <c r="H1601" s="113">
        <v>50.29</v>
      </c>
      <c r="I1601" s="113">
        <v>-107.8</v>
      </c>
      <c r="J1601" s="113">
        <v>757</v>
      </c>
      <c r="P1601" s="114" t="s">
        <v>1023</v>
      </c>
      <c r="Q1601" s="114" t="s">
        <v>1335</v>
      </c>
      <c r="R1601" s="114" t="s">
        <v>1343</v>
      </c>
      <c r="S1601" s="114" t="s">
        <v>1668</v>
      </c>
      <c r="T1601" s="114" t="s">
        <v>1682</v>
      </c>
      <c r="U1601" s="113">
        <v>1.61</v>
      </c>
      <c r="X1601" s="113" t="s">
        <v>175</v>
      </c>
      <c r="AB1601" s="113" t="s">
        <v>1594</v>
      </c>
      <c r="AC1601" s="113" t="s">
        <v>698</v>
      </c>
      <c r="AD1601" s="153" t="str">
        <f t="shared" si="280"/>
        <v>Legume</v>
      </c>
      <c r="AE1601" s="113" t="s">
        <v>1637</v>
      </c>
      <c r="AG1601" s="113" t="s">
        <v>1327</v>
      </c>
      <c r="AH1601" s="113" t="s">
        <v>1327</v>
      </c>
      <c r="AI1601" s="113" t="s">
        <v>230</v>
      </c>
      <c r="AM1601" s="113" t="s">
        <v>1341</v>
      </c>
      <c r="AN1601" s="113" t="s">
        <v>1342</v>
      </c>
      <c r="AO1601" s="113" t="s">
        <v>618</v>
      </c>
      <c r="AP1601" s="113" t="s">
        <v>1340</v>
      </c>
      <c r="AQ1601" s="113">
        <v>3</v>
      </c>
      <c r="AR1601" s="113">
        <v>3</v>
      </c>
      <c r="AS1601" s="113" t="s">
        <v>177</v>
      </c>
      <c r="AX1601" s="113" t="s">
        <v>1344</v>
      </c>
      <c r="BK1601" s="113">
        <f>(1000000/(100*100*0.3*1.61*1000))*7.3</f>
        <v>1.5113871635610767</v>
      </c>
      <c r="BL1601" s="113">
        <f>(1000000/(100*100*0.3*1.61*1000))*8.8</f>
        <v>1.821946169772257</v>
      </c>
      <c r="BM1601" s="113" t="s">
        <v>1354</v>
      </c>
      <c r="FA1601" s="113" t="s">
        <v>1348</v>
      </c>
      <c r="FC1601" s="113">
        <v>73</v>
      </c>
    </row>
    <row r="1602" spans="1:159" s="113" customFormat="1" x14ac:dyDescent="0.25">
      <c r="A1602" s="113">
        <v>73</v>
      </c>
      <c r="B1602" s="113" t="s">
        <v>1336</v>
      </c>
      <c r="C1602" s="113" t="s">
        <v>1337</v>
      </c>
      <c r="D1602" s="113">
        <v>2003</v>
      </c>
      <c r="E1602" s="113">
        <v>1996</v>
      </c>
      <c r="F1602" s="113" t="s">
        <v>1338</v>
      </c>
      <c r="G1602" s="113" t="s">
        <v>1368</v>
      </c>
      <c r="H1602" s="113">
        <v>50.29</v>
      </c>
      <c r="I1602" s="113">
        <v>-107.8</v>
      </c>
      <c r="J1602" s="113">
        <v>757</v>
      </c>
      <c r="P1602" s="114" t="s">
        <v>1024</v>
      </c>
      <c r="Q1602" s="114" t="s">
        <v>1335</v>
      </c>
      <c r="R1602" s="114" t="s">
        <v>1343</v>
      </c>
      <c r="S1602" s="114" t="s">
        <v>1668</v>
      </c>
      <c r="T1602" s="114" t="s">
        <v>1682</v>
      </c>
      <c r="U1602" s="113">
        <v>1.61</v>
      </c>
      <c r="X1602" s="113" t="s">
        <v>175</v>
      </c>
      <c r="AB1602" s="113" t="s">
        <v>1594</v>
      </c>
      <c r="AC1602" s="113" t="s">
        <v>698</v>
      </c>
      <c r="AD1602" s="153" t="str">
        <f t="shared" si="280"/>
        <v>Legume</v>
      </c>
      <c r="AE1602" s="113" t="s">
        <v>1637</v>
      </c>
      <c r="AG1602" s="113" t="s">
        <v>1327</v>
      </c>
      <c r="AH1602" s="113" t="s">
        <v>1327</v>
      </c>
      <c r="AI1602" s="113" t="s">
        <v>230</v>
      </c>
      <c r="AM1602" s="113" t="s">
        <v>1341</v>
      </c>
      <c r="AN1602" s="113" t="s">
        <v>1342</v>
      </c>
      <c r="AO1602" s="113" t="s">
        <v>618</v>
      </c>
      <c r="AP1602" s="113" t="s">
        <v>1340</v>
      </c>
      <c r="AQ1602" s="113">
        <v>3</v>
      </c>
      <c r="AR1602" s="113">
        <v>3</v>
      </c>
      <c r="AS1602" s="113" t="s">
        <v>177</v>
      </c>
      <c r="AX1602" s="113" t="s">
        <v>1344</v>
      </c>
      <c r="BK1602" s="113">
        <f>(1000000/(100*100*0.3*1.61*1000))*11.3</f>
        <v>2.3395445134575574</v>
      </c>
      <c r="BL1602" s="113">
        <f>(1000000/(100*100*0.3*1.61*1000))*11.4</f>
        <v>2.360248447204969</v>
      </c>
      <c r="BM1602" s="113" t="s">
        <v>1354</v>
      </c>
      <c r="FA1602" s="113" t="s">
        <v>1348</v>
      </c>
      <c r="FC1602" s="113">
        <v>73</v>
      </c>
    </row>
    <row r="1603" spans="1:159" s="113" customFormat="1" x14ac:dyDescent="0.25">
      <c r="A1603" s="113">
        <v>73</v>
      </c>
      <c r="B1603" s="113" t="s">
        <v>1336</v>
      </c>
      <c r="C1603" s="113" t="s">
        <v>1337</v>
      </c>
      <c r="D1603" s="113">
        <v>2003</v>
      </c>
      <c r="E1603" s="113">
        <v>1997</v>
      </c>
      <c r="F1603" s="113" t="s">
        <v>1338</v>
      </c>
      <c r="G1603" s="113" t="s">
        <v>1368</v>
      </c>
      <c r="H1603" s="113">
        <v>50.29</v>
      </c>
      <c r="I1603" s="113">
        <v>-107.8</v>
      </c>
      <c r="J1603" s="113">
        <v>757</v>
      </c>
      <c r="P1603" s="114" t="s">
        <v>1242</v>
      </c>
      <c r="Q1603" s="114" t="s">
        <v>1335</v>
      </c>
      <c r="R1603" s="114" t="s">
        <v>1343</v>
      </c>
      <c r="S1603" s="114" t="s">
        <v>1668</v>
      </c>
      <c r="T1603" s="114" t="s">
        <v>1682</v>
      </c>
      <c r="U1603" s="113">
        <v>1.61</v>
      </c>
      <c r="X1603" s="113" t="s">
        <v>175</v>
      </c>
      <c r="AB1603" s="113" t="s">
        <v>1594</v>
      </c>
      <c r="AC1603" s="113" t="s">
        <v>698</v>
      </c>
      <c r="AD1603" s="153" t="str">
        <f t="shared" ref="AD1603:AD1666" si="282">IF(OR(AC1603="*Rye",AC1603="Rye*",AC1603="Downy_brome"),"Rye",IF(OR(AC1603="*Oat",AC1603="Oat*",AC1603="Trudan_8",AC1603="*Wheat",AC1603="Wheat*",AC1603="Barley*",AC1603="Hemp",AC1603="Hemp",AC1603="Triticale*",AC1603="Grass",AC1603="Millet"),"Grass",IF(OR(AC1603="*clover",AC1603="clover*",AC1603="Vetch*",AC1603="Vetch*",AC1603="Alfalfa",AC1603="Soybean",AC1603="*Lentil",AC1603="Lentil*",AC1603="*Pea",AC1603="Pea*",AC1603="Lupine"),"Legume",AC1603)))</f>
        <v>Legume</v>
      </c>
      <c r="AE1603" s="113" t="s">
        <v>1637</v>
      </c>
      <c r="AG1603" s="113" t="s">
        <v>1327</v>
      </c>
      <c r="AH1603" s="113" t="s">
        <v>1327</v>
      </c>
      <c r="AI1603" s="113" t="s">
        <v>230</v>
      </c>
      <c r="AM1603" s="113" t="s">
        <v>1341</v>
      </c>
      <c r="AN1603" s="113" t="s">
        <v>1342</v>
      </c>
      <c r="AO1603" s="113" t="s">
        <v>618</v>
      </c>
      <c r="AP1603" s="113" t="s">
        <v>1340</v>
      </c>
      <c r="AQ1603" s="113">
        <v>3</v>
      </c>
      <c r="AR1603" s="113">
        <v>3</v>
      </c>
      <c r="AS1603" s="113" t="s">
        <v>177</v>
      </c>
      <c r="AX1603" s="113" t="s">
        <v>1344</v>
      </c>
      <c r="BK1603" s="113">
        <f>(1000000/(100*100*0.3*1.61*1000))*13.9</f>
        <v>2.8778467908902692</v>
      </c>
      <c r="BL1603" s="113">
        <f>(1000000/(100*100*0.3*1.61*1000))*10.4</f>
        <v>2.1532091097308492</v>
      </c>
      <c r="BM1603" s="113" t="s">
        <v>1354</v>
      </c>
      <c r="FA1603" s="113" t="s">
        <v>1348</v>
      </c>
      <c r="FC1603" s="113">
        <v>73</v>
      </c>
    </row>
    <row r="1604" spans="1:159" s="113" customFormat="1" x14ac:dyDescent="0.25">
      <c r="A1604" s="113">
        <v>73</v>
      </c>
      <c r="B1604" s="113" t="s">
        <v>1336</v>
      </c>
      <c r="C1604" s="113" t="s">
        <v>1337</v>
      </c>
      <c r="D1604" s="113">
        <v>2003</v>
      </c>
      <c r="E1604" s="113">
        <v>1998</v>
      </c>
      <c r="F1604" s="113" t="s">
        <v>1338</v>
      </c>
      <c r="G1604" s="113" t="s">
        <v>1368</v>
      </c>
      <c r="H1604" s="113">
        <v>50.29</v>
      </c>
      <c r="I1604" s="113">
        <v>-107.8</v>
      </c>
      <c r="J1604" s="113">
        <v>757</v>
      </c>
      <c r="P1604" s="114" t="s">
        <v>1025</v>
      </c>
      <c r="Q1604" s="114" t="s">
        <v>1335</v>
      </c>
      <c r="R1604" s="114" t="s">
        <v>1343</v>
      </c>
      <c r="S1604" s="114" t="s">
        <v>1668</v>
      </c>
      <c r="T1604" s="114" t="s">
        <v>1682</v>
      </c>
      <c r="U1604" s="113">
        <v>1.61</v>
      </c>
      <c r="X1604" s="113" t="s">
        <v>175</v>
      </c>
      <c r="AB1604" s="113" t="s">
        <v>1594</v>
      </c>
      <c r="AC1604" s="113" t="s">
        <v>698</v>
      </c>
      <c r="AD1604" s="153" t="str">
        <f t="shared" si="282"/>
        <v>Legume</v>
      </c>
      <c r="AE1604" s="113" t="s">
        <v>1637</v>
      </c>
      <c r="AG1604" s="113" t="s">
        <v>1327</v>
      </c>
      <c r="AH1604" s="113" t="s">
        <v>1327</v>
      </c>
      <c r="AI1604" s="113" t="s">
        <v>230</v>
      </c>
      <c r="AM1604" s="113" t="s">
        <v>1341</v>
      </c>
      <c r="AN1604" s="113" t="s">
        <v>1342</v>
      </c>
      <c r="AO1604" s="113" t="s">
        <v>618</v>
      </c>
      <c r="AP1604" s="113" t="s">
        <v>1340</v>
      </c>
      <c r="AQ1604" s="113">
        <v>3</v>
      </c>
      <c r="AR1604" s="113">
        <v>3</v>
      </c>
      <c r="AS1604" s="113" t="s">
        <v>177</v>
      </c>
      <c r="AX1604" s="113" t="s">
        <v>1344</v>
      </c>
      <c r="BK1604" s="113">
        <f>(1000000/(100*100*0.3*1.61*1000))*15.4</f>
        <v>3.1884057971014497</v>
      </c>
      <c r="BL1604" s="113">
        <f>(1000000/(100*100*0.3*1.61*1000))*11.3</f>
        <v>2.3395445134575574</v>
      </c>
      <c r="BM1604" s="113" t="s">
        <v>1354</v>
      </c>
      <c r="FA1604" s="113" t="s">
        <v>1348</v>
      </c>
      <c r="FC1604" s="113">
        <v>73</v>
      </c>
    </row>
    <row r="1605" spans="1:159" s="113" customFormat="1" x14ac:dyDescent="0.25">
      <c r="A1605" s="113">
        <v>73</v>
      </c>
      <c r="B1605" s="113" t="s">
        <v>1336</v>
      </c>
      <c r="C1605" s="113" t="s">
        <v>1337</v>
      </c>
      <c r="D1605" s="113">
        <v>2003</v>
      </c>
      <c r="E1605" s="113">
        <v>1999</v>
      </c>
      <c r="F1605" s="113" t="s">
        <v>1338</v>
      </c>
      <c r="G1605" s="113" t="s">
        <v>1368</v>
      </c>
      <c r="H1605" s="113">
        <v>50.29</v>
      </c>
      <c r="I1605" s="113">
        <v>-107.8</v>
      </c>
      <c r="J1605" s="113">
        <v>757</v>
      </c>
      <c r="P1605" s="114" t="s">
        <v>1026</v>
      </c>
      <c r="Q1605" s="114" t="s">
        <v>1335</v>
      </c>
      <c r="R1605" s="114" t="s">
        <v>1343</v>
      </c>
      <c r="S1605" s="114" t="s">
        <v>1668</v>
      </c>
      <c r="T1605" s="114" t="s">
        <v>1682</v>
      </c>
      <c r="U1605" s="113">
        <v>1.61</v>
      </c>
      <c r="X1605" s="113" t="s">
        <v>175</v>
      </c>
      <c r="AB1605" s="113" t="s">
        <v>1594</v>
      </c>
      <c r="AC1605" s="113" t="s">
        <v>698</v>
      </c>
      <c r="AD1605" s="153" t="str">
        <f t="shared" si="282"/>
        <v>Legume</v>
      </c>
      <c r="AE1605" s="113" t="s">
        <v>1637</v>
      </c>
      <c r="AG1605" s="113" t="s">
        <v>1327</v>
      </c>
      <c r="AH1605" s="113" t="s">
        <v>1327</v>
      </c>
      <c r="AI1605" s="113" t="s">
        <v>230</v>
      </c>
      <c r="AM1605" s="113" t="s">
        <v>1341</v>
      </c>
      <c r="AN1605" s="113" t="s">
        <v>1342</v>
      </c>
      <c r="AO1605" s="113" t="s">
        <v>618</v>
      </c>
      <c r="AP1605" s="113" t="s">
        <v>1340</v>
      </c>
      <c r="AQ1605" s="113">
        <v>3</v>
      </c>
      <c r="AR1605" s="113">
        <v>3</v>
      </c>
      <c r="AS1605" s="113" t="s">
        <v>177</v>
      </c>
      <c r="AX1605" s="113" t="s">
        <v>1344</v>
      </c>
      <c r="BK1605" s="113">
        <f>(1000000/(100*100*0.3*1.61*1000))*11.3</f>
        <v>2.3395445134575574</v>
      </c>
      <c r="BL1605" s="113">
        <f>(1000000/(100*100*0.3*1.61*1000))*12</f>
        <v>2.4844720496894412</v>
      </c>
      <c r="BM1605" s="113" t="s">
        <v>1354</v>
      </c>
      <c r="FA1605" s="113" t="s">
        <v>1348</v>
      </c>
      <c r="FC1605" s="113">
        <v>73</v>
      </c>
    </row>
    <row r="1606" spans="1:159" s="115" customFormat="1" x14ac:dyDescent="0.25">
      <c r="A1606" s="115">
        <v>73</v>
      </c>
      <c r="B1606" s="115" t="s">
        <v>1336</v>
      </c>
      <c r="C1606" s="115" t="s">
        <v>1337</v>
      </c>
      <c r="D1606" s="115">
        <v>2003</v>
      </c>
      <c r="E1606" s="115">
        <v>1988</v>
      </c>
      <c r="F1606" s="115" t="s">
        <v>1338</v>
      </c>
      <c r="G1606" s="115" t="s">
        <v>1368</v>
      </c>
      <c r="H1606" s="115">
        <v>50.29</v>
      </c>
      <c r="I1606" s="115">
        <v>-107.8</v>
      </c>
      <c r="J1606" s="115">
        <v>757</v>
      </c>
      <c r="P1606" s="116" t="s">
        <v>179</v>
      </c>
      <c r="Q1606" s="116" t="s">
        <v>1335</v>
      </c>
      <c r="R1606" s="116" t="s">
        <v>1343</v>
      </c>
      <c r="S1606" s="116" t="s">
        <v>1680</v>
      </c>
      <c r="T1606" s="116" t="s">
        <v>1682</v>
      </c>
      <c r="U1606" s="115">
        <v>1.69</v>
      </c>
      <c r="X1606" s="115" t="s">
        <v>175</v>
      </c>
      <c r="AB1606" s="115" t="s">
        <v>1594</v>
      </c>
      <c r="AC1606" s="115" t="s">
        <v>698</v>
      </c>
      <c r="AD1606" s="153" t="str">
        <f t="shared" si="282"/>
        <v>Legume</v>
      </c>
      <c r="AE1606" s="115" t="s">
        <v>1637</v>
      </c>
      <c r="AG1606" s="115" t="s">
        <v>1327</v>
      </c>
      <c r="AH1606" s="115" t="s">
        <v>1327</v>
      </c>
      <c r="AI1606" s="115" t="s">
        <v>230</v>
      </c>
      <c r="AM1606" s="115" t="s">
        <v>1341</v>
      </c>
      <c r="AN1606" s="115" t="s">
        <v>1342</v>
      </c>
      <c r="AO1606" s="115" t="s">
        <v>618</v>
      </c>
      <c r="AP1606" s="115" t="s">
        <v>1340</v>
      </c>
      <c r="AQ1606" s="115">
        <v>3</v>
      </c>
      <c r="AR1606" s="115">
        <v>3</v>
      </c>
      <c r="AS1606" s="115" t="s">
        <v>177</v>
      </c>
      <c r="AX1606" s="115" t="s">
        <v>1344</v>
      </c>
      <c r="BK1606" s="115">
        <f>(1000000/(100*100*0.3*1.69*1000))*22.4</f>
        <v>4.4181459566074945</v>
      </c>
      <c r="BL1606" s="115">
        <f>(1000000/(100*100*0.3*1.69*1000))*22.9</f>
        <v>4.5167652859960548</v>
      </c>
      <c r="BM1606" s="115" t="s">
        <v>1354</v>
      </c>
      <c r="FA1606" s="115" t="s">
        <v>1348</v>
      </c>
      <c r="FC1606" s="115">
        <v>73</v>
      </c>
    </row>
    <row r="1607" spans="1:159" s="115" customFormat="1" x14ac:dyDescent="0.25">
      <c r="A1607" s="115">
        <v>73</v>
      </c>
      <c r="B1607" s="115" t="s">
        <v>1336</v>
      </c>
      <c r="C1607" s="115" t="s">
        <v>1337</v>
      </c>
      <c r="D1607" s="115">
        <v>2003</v>
      </c>
      <c r="E1607" s="115">
        <v>1989</v>
      </c>
      <c r="F1607" s="115" t="s">
        <v>1338</v>
      </c>
      <c r="G1607" s="115" t="s">
        <v>1368</v>
      </c>
      <c r="H1607" s="115">
        <v>50.29</v>
      </c>
      <c r="I1607" s="115">
        <v>-107.8</v>
      </c>
      <c r="J1607" s="115">
        <v>757</v>
      </c>
      <c r="P1607" s="116" t="s">
        <v>180</v>
      </c>
      <c r="Q1607" s="116" t="s">
        <v>1335</v>
      </c>
      <c r="R1607" s="116" t="s">
        <v>1343</v>
      </c>
      <c r="S1607" s="116" t="s">
        <v>1680</v>
      </c>
      <c r="T1607" s="116" t="s">
        <v>1682</v>
      </c>
      <c r="U1607" s="115">
        <v>1.69</v>
      </c>
      <c r="X1607" s="115" t="s">
        <v>175</v>
      </c>
      <c r="AB1607" s="115" t="s">
        <v>1594</v>
      </c>
      <c r="AC1607" s="115" t="s">
        <v>698</v>
      </c>
      <c r="AD1607" s="153" t="str">
        <f t="shared" si="282"/>
        <v>Legume</v>
      </c>
      <c r="AE1607" s="115" t="s">
        <v>1637</v>
      </c>
      <c r="AG1607" s="115" t="s">
        <v>1327</v>
      </c>
      <c r="AH1607" s="115" t="s">
        <v>1327</v>
      </c>
      <c r="AI1607" s="115" t="s">
        <v>230</v>
      </c>
      <c r="AM1607" s="115" t="s">
        <v>1341</v>
      </c>
      <c r="AN1607" s="115" t="s">
        <v>1342</v>
      </c>
      <c r="AO1607" s="115" t="s">
        <v>618</v>
      </c>
      <c r="AP1607" s="115" t="s">
        <v>1340</v>
      </c>
      <c r="AQ1607" s="115">
        <v>3</v>
      </c>
      <c r="AR1607" s="115">
        <v>3</v>
      </c>
      <c r="AS1607" s="115" t="s">
        <v>177</v>
      </c>
      <c r="AX1607" s="115" t="s">
        <v>1344</v>
      </c>
      <c r="BK1607" s="115">
        <f>(1000000/(100*100*0.3*1.69*1000))*26.3</f>
        <v>5.1873767258382646</v>
      </c>
      <c r="BL1607" s="115">
        <f>(1000000/(100*100*0.3*1.69*1000))*34.3</f>
        <v>6.7652859960552263</v>
      </c>
      <c r="BM1607" s="115" t="s">
        <v>1354</v>
      </c>
      <c r="FA1607" s="115" t="s">
        <v>1348</v>
      </c>
      <c r="FC1607" s="115">
        <v>73</v>
      </c>
    </row>
    <row r="1608" spans="1:159" s="115" customFormat="1" x14ac:dyDescent="0.25">
      <c r="A1608" s="115">
        <v>73</v>
      </c>
      <c r="B1608" s="115" t="s">
        <v>1336</v>
      </c>
      <c r="C1608" s="115" t="s">
        <v>1337</v>
      </c>
      <c r="D1608" s="115">
        <v>2003</v>
      </c>
      <c r="E1608" s="115">
        <v>1990</v>
      </c>
      <c r="F1608" s="115" t="s">
        <v>1338</v>
      </c>
      <c r="G1608" s="115" t="s">
        <v>1368</v>
      </c>
      <c r="H1608" s="115">
        <v>50.29</v>
      </c>
      <c r="I1608" s="115">
        <v>-107.8</v>
      </c>
      <c r="J1608" s="115">
        <v>757</v>
      </c>
      <c r="P1608" s="116" t="s">
        <v>181</v>
      </c>
      <c r="Q1608" s="116" t="s">
        <v>1335</v>
      </c>
      <c r="R1608" s="116" t="s">
        <v>1343</v>
      </c>
      <c r="S1608" s="116" t="s">
        <v>1680</v>
      </c>
      <c r="T1608" s="116" t="s">
        <v>1682</v>
      </c>
      <c r="U1608" s="115">
        <v>1.69</v>
      </c>
      <c r="X1608" s="115" t="s">
        <v>175</v>
      </c>
      <c r="AB1608" s="115" t="s">
        <v>1594</v>
      </c>
      <c r="AC1608" s="115" t="s">
        <v>698</v>
      </c>
      <c r="AD1608" s="153" t="str">
        <f t="shared" si="282"/>
        <v>Legume</v>
      </c>
      <c r="AE1608" s="115" t="s">
        <v>1637</v>
      </c>
      <c r="AG1608" s="115" t="s">
        <v>1327</v>
      </c>
      <c r="AH1608" s="115" t="s">
        <v>1327</v>
      </c>
      <c r="AI1608" s="115" t="s">
        <v>230</v>
      </c>
      <c r="AM1608" s="115" t="s">
        <v>1341</v>
      </c>
      <c r="AN1608" s="115" t="s">
        <v>1342</v>
      </c>
      <c r="AO1608" s="115" t="s">
        <v>618</v>
      </c>
      <c r="AP1608" s="115" t="s">
        <v>1340</v>
      </c>
      <c r="AQ1608" s="115">
        <v>3</v>
      </c>
      <c r="AR1608" s="115">
        <v>3</v>
      </c>
      <c r="AS1608" s="115" t="s">
        <v>177</v>
      </c>
      <c r="AX1608" s="115" t="s">
        <v>1344</v>
      </c>
      <c r="BK1608" s="115">
        <f>(1000000/(100*100*0.3*1.69*1000))*33.5</f>
        <v>6.607495069033531</v>
      </c>
      <c r="BL1608" s="115">
        <f>(1000000/(100*100*0.3*1.69*1000))*34.8</f>
        <v>6.8639053254437865</v>
      </c>
      <c r="BM1608" s="115" t="s">
        <v>1354</v>
      </c>
      <c r="FA1608" s="115" t="s">
        <v>1348</v>
      </c>
      <c r="FC1608" s="115">
        <v>73</v>
      </c>
    </row>
    <row r="1609" spans="1:159" s="115" customFormat="1" x14ac:dyDescent="0.25">
      <c r="A1609" s="115">
        <v>73</v>
      </c>
      <c r="B1609" s="115" t="s">
        <v>1336</v>
      </c>
      <c r="C1609" s="115" t="s">
        <v>1337</v>
      </c>
      <c r="D1609" s="115">
        <v>2003</v>
      </c>
      <c r="E1609" s="115">
        <v>1991</v>
      </c>
      <c r="F1609" s="115" t="s">
        <v>1338</v>
      </c>
      <c r="G1609" s="115" t="s">
        <v>1368</v>
      </c>
      <c r="H1609" s="115">
        <v>50.29</v>
      </c>
      <c r="I1609" s="115">
        <v>-107.8</v>
      </c>
      <c r="J1609" s="115">
        <v>757</v>
      </c>
      <c r="P1609" s="116" t="s">
        <v>182</v>
      </c>
      <c r="Q1609" s="116" t="s">
        <v>1335</v>
      </c>
      <c r="R1609" s="116" t="s">
        <v>1343</v>
      </c>
      <c r="S1609" s="116" t="s">
        <v>1680</v>
      </c>
      <c r="T1609" s="116" t="s">
        <v>1682</v>
      </c>
      <c r="U1609" s="115">
        <v>1.69</v>
      </c>
      <c r="X1609" s="115" t="s">
        <v>175</v>
      </c>
      <c r="AB1609" s="115" t="s">
        <v>1594</v>
      </c>
      <c r="AC1609" s="115" t="s">
        <v>698</v>
      </c>
      <c r="AD1609" s="153" t="str">
        <f t="shared" si="282"/>
        <v>Legume</v>
      </c>
      <c r="AE1609" s="115" t="s">
        <v>1637</v>
      </c>
      <c r="AG1609" s="115" t="s">
        <v>1327</v>
      </c>
      <c r="AH1609" s="115" t="s">
        <v>1327</v>
      </c>
      <c r="AI1609" s="115" t="s">
        <v>230</v>
      </c>
      <c r="AM1609" s="115" t="s">
        <v>1341</v>
      </c>
      <c r="AN1609" s="115" t="s">
        <v>1342</v>
      </c>
      <c r="AO1609" s="115" t="s">
        <v>618</v>
      </c>
      <c r="AP1609" s="115" t="s">
        <v>1340</v>
      </c>
      <c r="AQ1609" s="115">
        <v>3</v>
      </c>
      <c r="AR1609" s="115">
        <v>3</v>
      </c>
      <c r="AS1609" s="115" t="s">
        <v>177</v>
      </c>
      <c r="AX1609" s="115" t="s">
        <v>1344</v>
      </c>
      <c r="BK1609" s="115">
        <f>(1000000/(100*100*0.3*1.69*1000))*30.8</f>
        <v>6.0749506903353065</v>
      </c>
      <c r="BL1609" s="115">
        <f>(1000000/(100*100*0.3*1.69*1000))*36.4</f>
        <v>7.1794871794871797</v>
      </c>
      <c r="BM1609" s="115" t="s">
        <v>1354</v>
      </c>
      <c r="FA1609" s="115" t="s">
        <v>1348</v>
      </c>
      <c r="FC1609" s="115">
        <v>73</v>
      </c>
    </row>
    <row r="1610" spans="1:159" s="115" customFormat="1" x14ac:dyDescent="0.25">
      <c r="A1610" s="115">
        <v>73</v>
      </c>
      <c r="B1610" s="115" t="s">
        <v>1336</v>
      </c>
      <c r="C1610" s="115" t="s">
        <v>1337</v>
      </c>
      <c r="D1610" s="115">
        <v>2003</v>
      </c>
      <c r="E1610" s="115">
        <v>1992</v>
      </c>
      <c r="F1610" s="115" t="s">
        <v>1338</v>
      </c>
      <c r="G1610" s="115" t="s">
        <v>1368</v>
      </c>
      <c r="H1610" s="115">
        <v>50.29</v>
      </c>
      <c r="I1610" s="115">
        <v>-107.8</v>
      </c>
      <c r="J1610" s="115">
        <v>757</v>
      </c>
      <c r="P1610" s="116" t="s">
        <v>183</v>
      </c>
      <c r="Q1610" s="116" t="s">
        <v>1335</v>
      </c>
      <c r="R1610" s="116" t="s">
        <v>1343</v>
      </c>
      <c r="S1610" s="116" t="s">
        <v>1680</v>
      </c>
      <c r="T1610" s="116" t="s">
        <v>1682</v>
      </c>
      <c r="U1610" s="115">
        <v>1.69</v>
      </c>
      <c r="X1610" s="115" t="s">
        <v>175</v>
      </c>
      <c r="AB1610" s="115" t="s">
        <v>1594</v>
      </c>
      <c r="AC1610" s="115" t="s">
        <v>698</v>
      </c>
      <c r="AD1610" s="153" t="str">
        <f t="shared" si="282"/>
        <v>Legume</v>
      </c>
      <c r="AE1610" s="115" t="s">
        <v>1637</v>
      </c>
      <c r="AG1610" s="115" t="s">
        <v>1327</v>
      </c>
      <c r="AH1610" s="115" t="s">
        <v>1327</v>
      </c>
      <c r="AI1610" s="115" t="s">
        <v>230</v>
      </c>
      <c r="AM1610" s="115" t="s">
        <v>1341</v>
      </c>
      <c r="AN1610" s="115" t="s">
        <v>1342</v>
      </c>
      <c r="AO1610" s="115" t="s">
        <v>618</v>
      </c>
      <c r="AP1610" s="115" t="s">
        <v>1340</v>
      </c>
      <c r="AQ1610" s="115">
        <v>3</v>
      </c>
      <c r="AR1610" s="115">
        <v>3</v>
      </c>
      <c r="AS1610" s="115" t="s">
        <v>177</v>
      </c>
      <c r="AX1610" s="115" t="s">
        <v>1344</v>
      </c>
      <c r="BK1610" s="115">
        <f>(1000000/(100*100*0.3*1.69*1000))*12.8</f>
        <v>2.5246548323471405</v>
      </c>
      <c r="BL1610" s="115">
        <f>(1000000/(100*100*0.3*1.69*1000))*38</f>
        <v>7.4950690335305721</v>
      </c>
      <c r="BM1610" s="115" t="s">
        <v>1354</v>
      </c>
      <c r="FA1610" s="115" t="s">
        <v>1348</v>
      </c>
      <c r="FC1610" s="115">
        <v>73</v>
      </c>
    </row>
    <row r="1611" spans="1:159" s="115" customFormat="1" x14ac:dyDescent="0.25">
      <c r="A1611" s="115">
        <v>73</v>
      </c>
      <c r="B1611" s="115" t="s">
        <v>1336</v>
      </c>
      <c r="C1611" s="115" t="s">
        <v>1337</v>
      </c>
      <c r="D1611" s="115">
        <v>2003</v>
      </c>
      <c r="E1611" s="115">
        <v>1993</v>
      </c>
      <c r="F1611" s="115" t="s">
        <v>1338</v>
      </c>
      <c r="G1611" s="115" t="s">
        <v>1368</v>
      </c>
      <c r="H1611" s="115">
        <v>50.29</v>
      </c>
      <c r="I1611" s="115">
        <v>-107.8</v>
      </c>
      <c r="J1611" s="115">
        <v>757</v>
      </c>
      <c r="P1611" s="116" t="s">
        <v>200</v>
      </c>
      <c r="Q1611" s="116" t="s">
        <v>1335</v>
      </c>
      <c r="R1611" s="116" t="s">
        <v>1343</v>
      </c>
      <c r="S1611" s="116" t="s">
        <v>1680</v>
      </c>
      <c r="T1611" s="116" t="s">
        <v>1682</v>
      </c>
      <c r="U1611" s="115">
        <v>1.69</v>
      </c>
      <c r="X1611" s="115" t="s">
        <v>175</v>
      </c>
      <c r="AB1611" s="115" t="s">
        <v>1594</v>
      </c>
      <c r="AC1611" s="115" t="s">
        <v>698</v>
      </c>
      <c r="AD1611" s="153" t="str">
        <f t="shared" si="282"/>
        <v>Legume</v>
      </c>
      <c r="AE1611" s="115" t="s">
        <v>1637</v>
      </c>
      <c r="AG1611" s="115" t="s">
        <v>1327</v>
      </c>
      <c r="AH1611" s="115" t="s">
        <v>1327</v>
      </c>
      <c r="AI1611" s="115" t="s">
        <v>230</v>
      </c>
      <c r="AM1611" s="115" t="s">
        <v>1341</v>
      </c>
      <c r="AN1611" s="115" t="s">
        <v>1342</v>
      </c>
      <c r="AO1611" s="115" t="s">
        <v>618</v>
      </c>
      <c r="AP1611" s="115" t="s">
        <v>1340</v>
      </c>
      <c r="AQ1611" s="115">
        <v>3</v>
      </c>
      <c r="AR1611" s="115">
        <v>3</v>
      </c>
      <c r="AS1611" s="115" t="s">
        <v>177</v>
      </c>
      <c r="AX1611" s="115" t="s">
        <v>1344</v>
      </c>
      <c r="BK1611" s="115">
        <f>(1000000/(100*100*0.3*1.69*1000))*11.7</f>
        <v>2.3076923076923075</v>
      </c>
      <c r="BL1611" s="115">
        <f>(1000000/(100*100*0.3*1.69*1000))*17.6</f>
        <v>3.471400394477318</v>
      </c>
      <c r="BM1611" s="115" t="s">
        <v>1354</v>
      </c>
      <c r="FA1611" s="115" t="s">
        <v>1348</v>
      </c>
      <c r="FC1611" s="115">
        <v>73</v>
      </c>
    </row>
    <row r="1612" spans="1:159" s="115" customFormat="1" x14ac:dyDescent="0.25">
      <c r="A1612" s="115">
        <v>73</v>
      </c>
      <c r="B1612" s="115" t="s">
        <v>1336</v>
      </c>
      <c r="C1612" s="115" t="s">
        <v>1337</v>
      </c>
      <c r="D1612" s="115">
        <v>2003</v>
      </c>
      <c r="E1612" s="115">
        <v>1994</v>
      </c>
      <c r="F1612" s="115" t="s">
        <v>1338</v>
      </c>
      <c r="G1612" s="115" t="s">
        <v>1368</v>
      </c>
      <c r="H1612" s="115">
        <v>50.29</v>
      </c>
      <c r="I1612" s="115">
        <v>-107.8</v>
      </c>
      <c r="J1612" s="115">
        <v>757</v>
      </c>
      <c r="P1612" s="116" t="s">
        <v>1022</v>
      </c>
      <c r="Q1612" s="116" t="s">
        <v>1335</v>
      </c>
      <c r="R1612" s="116" t="s">
        <v>1343</v>
      </c>
      <c r="S1612" s="116" t="s">
        <v>1680</v>
      </c>
      <c r="T1612" s="116" t="s">
        <v>1682</v>
      </c>
      <c r="U1612" s="115">
        <v>1.69</v>
      </c>
      <c r="X1612" s="115" t="s">
        <v>175</v>
      </c>
      <c r="AB1612" s="115" t="s">
        <v>1594</v>
      </c>
      <c r="AC1612" s="115" t="s">
        <v>698</v>
      </c>
      <c r="AD1612" s="153" t="str">
        <f t="shared" si="282"/>
        <v>Legume</v>
      </c>
      <c r="AE1612" s="115" t="s">
        <v>1637</v>
      </c>
      <c r="AG1612" s="115" t="s">
        <v>1327</v>
      </c>
      <c r="AH1612" s="115" t="s">
        <v>1327</v>
      </c>
      <c r="AI1612" s="115" t="s">
        <v>230</v>
      </c>
      <c r="AM1612" s="115" t="s">
        <v>1341</v>
      </c>
      <c r="AN1612" s="115" t="s">
        <v>1342</v>
      </c>
      <c r="AO1612" s="115" t="s">
        <v>618</v>
      </c>
      <c r="AP1612" s="115" t="s">
        <v>1340</v>
      </c>
      <c r="AQ1612" s="115">
        <v>3</v>
      </c>
      <c r="AR1612" s="115">
        <v>3</v>
      </c>
      <c r="AS1612" s="115" t="s">
        <v>177</v>
      </c>
      <c r="AX1612" s="115" t="s">
        <v>1344</v>
      </c>
      <c r="BK1612" s="115">
        <f>(1000000/(100*100*0.3*1.69*1000))*8.1</f>
        <v>1.5976331360946745</v>
      </c>
      <c r="BL1612" s="115">
        <f>(1000000/(100*100*0.3*1.69*1000))*14.1</f>
        <v>2.7810650887573964</v>
      </c>
      <c r="BM1612" s="115" t="s">
        <v>1354</v>
      </c>
      <c r="FA1612" s="115" t="s">
        <v>1348</v>
      </c>
      <c r="FC1612" s="115">
        <v>73</v>
      </c>
    </row>
    <row r="1613" spans="1:159" s="115" customFormat="1" x14ac:dyDescent="0.25">
      <c r="A1613" s="115">
        <v>73</v>
      </c>
      <c r="B1613" s="115" t="s">
        <v>1336</v>
      </c>
      <c r="C1613" s="115" t="s">
        <v>1337</v>
      </c>
      <c r="D1613" s="115">
        <v>2003</v>
      </c>
      <c r="E1613" s="115">
        <v>1995</v>
      </c>
      <c r="F1613" s="115" t="s">
        <v>1338</v>
      </c>
      <c r="G1613" s="115" t="s">
        <v>1368</v>
      </c>
      <c r="H1613" s="115">
        <v>50.29</v>
      </c>
      <c r="I1613" s="115">
        <v>-107.8</v>
      </c>
      <c r="J1613" s="115">
        <v>757</v>
      </c>
      <c r="P1613" s="116" t="s">
        <v>1023</v>
      </c>
      <c r="Q1613" s="116" t="s">
        <v>1335</v>
      </c>
      <c r="R1613" s="116" t="s">
        <v>1343</v>
      </c>
      <c r="S1613" s="116" t="s">
        <v>1680</v>
      </c>
      <c r="T1613" s="116" t="s">
        <v>1682</v>
      </c>
      <c r="U1613" s="115">
        <v>1.69</v>
      </c>
      <c r="X1613" s="115" t="s">
        <v>175</v>
      </c>
      <c r="AB1613" s="115" t="s">
        <v>1594</v>
      </c>
      <c r="AC1613" s="115" t="s">
        <v>698</v>
      </c>
      <c r="AD1613" s="153" t="str">
        <f t="shared" si="282"/>
        <v>Legume</v>
      </c>
      <c r="AE1613" s="115" t="s">
        <v>1637</v>
      </c>
      <c r="AG1613" s="115" t="s">
        <v>1327</v>
      </c>
      <c r="AH1613" s="115" t="s">
        <v>1327</v>
      </c>
      <c r="AI1613" s="115" t="s">
        <v>230</v>
      </c>
      <c r="AM1613" s="115" t="s">
        <v>1341</v>
      </c>
      <c r="AN1613" s="115" t="s">
        <v>1342</v>
      </c>
      <c r="AO1613" s="115" t="s">
        <v>618</v>
      </c>
      <c r="AP1613" s="115" t="s">
        <v>1340</v>
      </c>
      <c r="AQ1613" s="115">
        <v>3</v>
      </c>
      <c r="AR1613" s="115">
        <v>3</v>
      </c>
      <c r="AS1613" s="115" t="s">
        <v>177</v>
      </c>
      <c r="AX1613" s="115" t="s">
        <v>1344</v>
      </c>
      <c r="BK1613" s="115">
        <f>(1000000/(100*100*0.3*1.69*1000))*4.6</f>
        <v>0.90729783037475342</v>
      </c>
      <c r="BL1613" s="115">
        <f>(1000000/(100*100*0.3*1.69*1000))*11.2</f>
        <v>2.2090729783037473</v>
      </c>
      <c r="BM1613" s="115" t="s">
        <v>1354</v>
      </c>
      <c r="FA1613" s="115" t="s">
        <v>1348</v>
      </c>
      <c r="FC1613" s="115">
        <v>73</v>
      </c>
    </row>
    <row r="1614" spans="1:159" s="115" customFormat="1" x14ac:dyDescent="0.25">
      <c r="A1614" s="115">
        <v>73</v>
      </c>
      <c r="B1614" s="115" t="s">
        <v>1336</v>
      </c>
      <c r="C1614" s="115" t="s">
        <v>1337</v>
      </c>
      <c r="D1614" s="115">
        <v>2003</v>
      </c>
      <c r="E1614" s="115">
        <v>1996</v>
      </c>
      <c r="F1614" s="115" t="s">
        <v>1338</v>
      </c>
      <c r="G1614" s="115" t="s">
        <v>1368</v>
      </c>
      <c r="H1614" s="115">
        <v>50.29</v>
      </c>
      <c r="I1614" s="115">
        <v>-107.8</v>
      </c>
      <c r="J1614" s="115">
        <v>757</v>
      </c>
      <c r="P1614" s="116" t="s">
        <v>1024</v>
      </c>
      <c r="Q1614" s="116" t="s">
        <v>1335</v>
      </c>
      <c r="R1614" s="116" t="s">
        <v>1343</v>
      </c>
      <c r="S1614" s="116" t="s">
        <v>1680</v>
      </c>
      <c r="T1614" s="116" t="s">
        <v>1682</v>
      </c>
      <c r="U1614" s="115">
        <v>1.69</v>
      </c>
      <c r="X1614" s="115" t="s">
        <v>175</v>
      </c>
      <c r="AB1614" s="115" t="s">
        <v>1594</v>
      </c>
      <c r="AC1614" s="115" t="s">
        <v>698</v>
      </c>
      <c r="AD1614" s="153" t="str">
        <f t="shared" si="282"/>
        <v>Legume</v>
      </c>
      <c r="AE1614" s="115" t="s">
        <v>1637</v>
      </c>
      <c r="AG1614" s="115" t="s">
        <v>1327</v>
      </c>
      <c r="AH1614" s="115" t="s">
        <v>1327</v>
      </c>
      <c r="AI1614" s="115" t="s">
        <v>230</v>
      </c>
      <c r="AM1614" s="115" t="s">
        <v>1341</v>
      </c>
      <c r="AN1614" s="115" t="s">
        <v>1342</v>
      </c>
      <c r="AO1614" s="115" t="s">
        <v>618</v>
      </c>
      <c r="AP1614" s="115" t="s">
        <v>1340</v>
      </c>
      <c r="AQ1614" s="115">
        <v>3</v>
      </c>
      <c r="AR1614" s="115">
        <v>3</v>
      </c>
      <c r="AS1614" s="115" t="s">
        <v>177</v>
      </c>
      <c r="AX1614" s="115" t="s">
        <v>1344</v>
      </c>
      <c r="BK1614" s="115">
        <f>(1000000/(100*100*0.3*1.69*1000))*7.7</f>
        <v>1.5187376725838266</v>
      </c>
      <c r="BL1614" s="115">
        <f>(1000000/(100*100*0.3*1.69*1000))*17</f>
        <v>3.3530571992110456</v>
      </c>
      <c r="BM1614" s="115" t="s">
        <v>1354</v>
      </c>
      <c r="FA1614" s="115" t="s">
        <v>1348</v>
      </c>
      <c r="FC1614" s="115">
        <v>73</v>
      </c>
    </row>
    <row r="1615" spans="1:159" s="115" customFormat="1" x14ac:dyDescent="0.25">
      <c r="A1615" s="115">
        <v>73</v>
      </c>
      <c r="B1615" s="115" t="s">
        <v>1336</v>
      </c>
      <c r="C1615" s="115" t="s">
        <v>1337</v>
      </c>
      <c r="D1615" s="115">
        <v>2003</v>
      </c>
      <c r="E1615" s="115">
        <v>1997</v>
      </c>
      <c r="F1615" s="115" t="s">
        <v>1338</v>
      </c>
      <c r="G1615" s="115" t="s">
        <v>1368</v>
      </c>
      <c r="H1615" s="115">
        <v>50.29</v>
      </c>
      <c r="I1615" s="115">
        <v>-107.8</v>
      </c>
      <c r="J1615" s="115">
        <v>757</v>
      </c>
      <c r="P1615" s="116" t="s">
        <v>1242</v>
      </c>
      <c r="Q1615" s="116" t="s">
        <v>1335</v>
      </c>
      <c r="R1615" s="116" t="s">
        <v>1343</v>
      </c>
      <c r="S1615" s="116" t="s">
        <v>1680</v>
      </c>
      <c r="T1615" s="116" t="s">
        <v>1682</v>
      </c>
      <c r="U1615" s="115">
        <v>1.69</v>
      </c>
      <c r="X1615" s="115" t="s">
        <v>175</v>
      </c>
      <c r="AB1615" s="115" t="s">
        <v>1594</v>
      </c>
      <c r="AC1615" s="115" t="s">
        <v>698</v>
      </c>
      <c r="AD1615" s="153" t="str">
        <f t="shared" si="282"/>
        <v>Legume</v>
      </c>
      <c r="AE1615" s="115" t="s">
        <v>1637</v>
      </c>
      <c r="AG1615" s="115" t="s">
        <v>1327</v>
      </c>
      <c r="AH1615" s="115" t="s">
        <v>1327</v>
      </c>
      <c r="AI1615" s="115" t="s">
        <v>230</v>
      </c>
      <c r="AM1615" s="115" t="s">
        <v>1341</v>
      </c>
      <c r="AN1615" s="115" t="s">
        <v>1342</v>
      </c>
      <c r="AO1615" s="115" t="s">
        <v>618</v>
      </c>
      <c r="AP1615" s="115" t="s">
        <v>1340</v>
      </c>
      <c r="AQ1615" s="115">
        <v>3</v>
      </c>
      <c r="AR1615" s="115">
        <v>3</v>
      </c>
      <c r="AS1615" s="115" t="s">
        <v>177</v>
      </c>
      <c r="AX1615" s="115" t="s">
        <v>1344</v>
      </c>
      <c r="BK1615" s="115">
        <f>(1000000/(100*100*0.3*1.69*1000))*7.5</f>
        <v>1.4792899408284024</v>
      </c>
      <c r="BL1615" s="115">
        <f>(1000000/(100*100*0.3*1.69*1000))*18.5</f>
        <v>3.6489151873767258</v>
      </c>
      <c r="BM1615" s="115" t="s">
        <v>1354</v>
      </c>
      <c r="FA1615" s="115" t="s">
        <v>1348</v>
      </c>
      <c r="FC1615" s="115">
        <v>73</v>
      </c>
    </row>
    <row r="1616" spans="1:159" s="115" customFormat="1" x14ac:dyDescent="0.25">
      <c r="A1616" s="115">
        <v>73</v>
      </c>
      <c r="B1616" s="115" t="s">
        <v>1336</v>
      </c>
      <c r="C1616" s="115" t="s">
        <v>1337</v>
      </c>
      <c r="D1616" s="115">
        <v>2003</v>
      </c>
      <c r="E1616" s="115">
        <v>1998</v>
      </c>
      <c r="F1616" s="115" t="s">
        <v>1338</v>
      </c>
      <c r="G1616" s="115" t="s">
        <v>1368</v>
      </c>
      <c r="H1616" s="115">
        <v>50.29</v>
      </c>
      <c r="I1616" s="115">
        <v>-107.8</v>
      </c>
      <c r="J1616" s="115">
        <v>757</v>
      </c>
      <c r="P1616" s="116" t="s">
        <v>1025</v>
      </c>
      <c r="Q1616" s="116" t="s">
        <v>1335</v>
      </c>
      <c r="R1616" s="116" t="s">
        <v>1343</v>
      </c>
      <c r="S1616" s="116" t="s">
        <v>1680</v>
      </c>
      <c r="T1616" s="116" t="s">
        <v>1682</v>
      </c>
      <c r="U1616" s="115">
        <v>1.69</v>
      </c>
      <c r="X1616" s="115" t="s">
        <v>175</v>
      </c>
      <c r="AB1616" s="115" t="s">
        <v>1594</v>
      </c>
      <c r="AC1616" s="115" t="s">
        <v>698</v>
      </c>
      <c r="AD1616" s="153" t="str">
        <f t="shared" si="282"/>
        <v>Legume</v>
      </c>
      <c r="AE1616" s="115" t="s">
        <v>1637</v>
      </c>
      <c r="AG1616" s="115" t="s">
        <v>1327</v>
      </c>
      <c r="AH1616" s="115" t="s">
        <v>1327</v>
      </c>
      <c r="AI1616" s="115" t="s">
        <v>230</v>
      </c>
      <c r="AM1616" s="115" t="s">
        <v>1341</v>
      </c>
      <c r="AN1616" s="115" t="s">
        <v>1342</v>
      </c>
      <c r="AO1616" s="115" t="s">
        <v>618</v>
      </c>
      <c r="AP1616" s="115" t="s">
        <v>1340</v>
      </c>
      <c r="AQ1616" s="115">
        <v>3</v>
      </c>
      <c r="AR1616" s="115">
        <v>3</v>
      </c>
      <c r="AS1616" s="115" t="s">
        <v>177</v>
      </c>
      <c r="AX1616" s="115" t="s">
        <v>1344</v>
      </c>
      <c r="BK1616" s="115">
        <f>(1000000/(100*100*0.3*1.69*1000))*16.4</f>
        <v>3.2347140039447728</v>
      </c>
      <c r="BL1616" s="115">
        <f>(1000000/(100*100*0.3*1.69*1000))*41</f>
        <v>8.0867850098619325</v>
      </c>
      <c r="BM1616" s="115" t="s">
        <v>1354</v>
      </c>
      <c r="FA1616" s="115" t="s">
        <v>1348</v>
      </c>
      <c r="FC1616" s="115">
        <v>73</v>
      </c>
    </row>
    <row r="1617" spans="1:159" s="115" customFormat="1" x14ac:dyDescent="0.25">
      <c r="A1617" s="115">
        <v>73</v>
      </c>
      <c r="B1617" s="115" t="s">
        <v>1336</v>
      </c>
      <c r="C1617" s="115" t="s">
        <v>1337</v>
      </c>
      <c r="D1617" s="115">
        <v>2003</v>
      </c>
      <c r="E1617" s="115">
        <v>1999</v>
      </c>
      <c r="F1617" s="115" t="s">
        <v>1338</v>
      </c>
      <c r="G1617" s="115" t="s">
        <v>1368</v>
      </c>
      <c r="H1617" s="115">
        <v>50.29</v>
      </c>
      <c r="I1617" s="115">
        <v>-107.8</v>
      </c>
      <c r="J1617" s="115">
        <v>757</v>
      </c>
      <c r="P1617" s="116" t="s">
        <v>1026</v>
      </c>
      <c r="Q1617" s="116" t="s">
        <v>1335</v>
      </c>
      <c r="R1617" s="116" t="s">
        <v>1343</v>
      </c>
      <c r="S1617" s="116" t="s">
        <v>1680</v>
      </c>
      <c r="T1617" s="116" t="s">
        <v>1682</v>
      </c>
      <c r="U1617" s="115">
        <v>1.69</v>
      </c>
      <c r="X1617" s="115" t="s">
        <v>175</v>
      </c>
      <c r="AB1617" s="115" t="s">
        <v>1594</v>
      </c>
      <c r="AC1617" s="115" t="s">
        <v>698</v>
      </c>
      <c r="AD1617" s="153" t="str">
        <f t="shared" si="282"/>
        <v>Legume</v>
      </c>
      <c r="AE1617" s="115" t="s">
        <v>1637</v>
      </c>
      <c r="AG1617" s="115" t="s">
        <v>1327</v>
      </c>
      <c r="AH1617" s="115" t="s">
        <v>1327</v>
      </c>
      <c r="AI1617" s="115" t="s">
        <v>230</v>
      </c>
      <c r="AM1617" s="115" t="s">
        <v>1341</v>
      </c>
      <c r="AN1617" s="115" t="s">
        <v>1342</v>
      </c>
      <c r="AO1617" s="115" t="s">
        <v>618</v>
      </c>
      <c r="AP1617" s="115" t="s">
        <v>1340</v>
      </c>
      <c r="AQ1617" s="115">
        <v>3</v>
      </c>
      <c r="AR1617" s="115">
        <v>3</v>
      </c>
      <c r="AS1617" s="115" t="s">
        <v>177</v>
      </c>
      <c r="AX1617" s="115" t="s">
        <v>1344</v>
      </c>
      <c r="BK1617" s="115">
        <f>(1000000/(100*100*0.3*1.69*1000))*9.9</f>
        <v>1.9526627218934913</v>
      </c>
      <c r="BL1617" s="115">
        <f>(1000000/(100*100*0.3*1.69*1000))*28.9</f>
        <v>5.7001972386587774</v>
      </c>
      <c r="BM1617" s="115" t="s">
        <v>1354</v>
      </c>
      <c r="FA1617" s="115" t="s">
        <v>1348</v>
      </c>
      <c r="FC1617" s="115">
        <v>73</v>
      </c>
    </row>
    <row r="1618" spans="1:159" s="38" customFormat="1" x14ac:dyDescent="0.25">
      <c r="A1618" s="38">
        <v>74</v>
      </c>
      <c r="B1618" s="38" t="s">
        <v>1356</v>
      </c>
      <c r="C1618" s="38" t="s">
        <v>1357</v>
      </c>
      <c r="D1618" s="38">
        <v>2013</v>
      </c>
      <c r="E1618" s="38">
        <v>2011</v>
      </c>
      <c r="F1618" s="38" t="s">
        <v>1358</v>
      </c>
      <c r="G1618" s="38" t="s">
        <v>1359</v>
      </c>
      <c r="H1618" s="38">
        <v>32.24</v>
      </c>
      <c r="I1618" s="38">
        <v>-98.2</v>
      </c>
      <c r="J1618" s="38">
        <v>390.7</v>
      </c>
      <c r="P1618" s="57" t="s">
        <v>179</v>
      </c>
      <c r="Q1618" s="57"/>
      <c r="R1618" s="57"/>
      <c r="S1618" s="57" t="s">
        <v>1640</v>
      </c>
      <c r="T1618" s="57" t="s">
        <v>1640</v>
      </c>
      <c r="V1618" s="38">
        <v>3</v>
      </c>
      <c r="W1618" s="38">
        <v>32</v>
      </c>
      <c r="X1618" s="38" t="s">
        <v>526</v>
      </c>
      <c r="AB1618" s="38" t="s">
        <v>1595</v>
      </c>
      <c r="AC1618" s="38" t="s">
        <v>1361</v>
      </c>
      <c r="AD1618" s="153" t="str">
        <f t="shared" si="282"/>
        <v>Brassica</v>
      </c>
      <c r="AE1618" s="38" t="s">
        <v>1360</v>
      </c>
      <c r="AG1618" s="38" t="s">
        <v>154</v>
      </c>
      <c r="AQ1618" s="38">
        <v>4</v>
      </c>
      <c r="AR1618" s="38">
        <v>4</v>
      </c>
      <c r="AS1618" s="38" t="s">
        <v>404</v>
      </c>
      <c r="AX1618" s="38" t="s">
        <v>1363</v>
      </c>
      <c r="DP1618" s="38">
        <v>4.3</v>
      </c>
      <c r="DQ1618" s="38">
        <v>3.3</v>
      </c>
      <c r="DR1618" s="38" t="s">
        <v>1362</v>
      </c>
      <c r="FC1618" s="38">
        <v>74</v>
      </c>
    </row>
    <row r="1619" spans="1:159" s="38" customFormat="1" x14ac:dyDescent="0.25">
      <c r="A1619" s="38">
        <v>74</v>
      </c>
      <c r="B1619" s="38" t="s">
        <v>1356</v>
      </c>
      <c r="C1619" s="38" t="s">
        <v>1357</v>
      </c>
      <c r="D1619" s="38">
        <v>2013</v>
      </c>
      <c r="E1619" s="38">
        <v>2011</v>
      </c>
      <c r="F1619" s="38" t="s">
        <v>1358</v>
      </c>
      <c r="G1619" s="38" t="s">
        <v>1359</v>
      </c>
      <c r="H1619" s="38">
        <v>32.24</v>
      </c>
      <c r="I1619" s="38">
        <v>-98.2</v>
      </c>
      <c r="J1619" s="38">
        <v>390.7</v>
      </c>
      <c r="P1619" s="57" t="s">
        <v>179</v>
      </c>
      <c r="Q1619" s="57"/>
      <c r="R1619" s="57"/>
      <c r="S1619" s="57" t="s">
        <v>1640</v>
      </c>
      <c r="T1619" s="57" t="s">
        <v>1640</v>
      </c>
      <c r="V1619" s="38">
        <v>3</v>
      </c>
      <c r="W1619" s="38">
        <v>32</v>
      </c>
      <c r="X1619" s="38" t="s">
        <v>526</v>
      </c>
      <c r="AB1619" s="38" t="s">
        <v>1595</v>
      </c>
      <c r="AC1619" s="38" t="s">
        <v>1361</v>
      </c>
      <c r="AD1619" s="153" t="str">
        <f t="shared" si="282"/>
        <v>Brassica</v>
      </c>
      <c r="AE1619" s="38" t="s">
        <v>1360</v>
      </c>
      <c r="AG1619" s="38" t="s">
        <v>154</v>
      </c>
      <c r="AQ1619" s="38">
        <v>4</v>
      </c>
      <c r="AR1619" s="38">
        <v>4</v>
      </c>
      <c r="AS1619" s="38" t="s">
        <v>404</v>
      </c>
      <c r="AX1619" s="38" t="s">
        <v>1364</v>
      </c>
      <c r="DP1619" s="38">
        <v>3</v>
      </c>
      <c r="DQ1619" s="38">
        <v>2.5</v>
      </c>
      <c r="DR1619" s="38" t="s">
        <v>1362</v>
      </c>
      <c r="FC1619" s="38">
        <v>74</v>
      </c>
    </row>
    <row r="1620" spans="1:159" s="38" customFormat="1" x14ac:dyDescent="0.25">
      <c r="A1620" s="38">
        <v>74</v>
      </c>
      <c r="B1620" s="38" t="s">
        <v>1356</v>
      </c>
      <c r="C1620" s="38" t="s">
        <v>1357</v>
      </c>
      <c r="D1620" s="38">
        <v>2013</v>
      </c>
      <c r="E1620" s="38">
        <v>2011</v>
      </c>
      <c r="F1620" s="38" t="s">
        <v>1358</v>
      </c>
      <c r="G1620" s="38" t="s">
        <v>1359</v>
      </c>
      <c r="H1620" s="38">
        <v>32.24</v>
      </c>
      <c r="I1620" s="38">
        <v>-98.2</v>
      </c>
      <c r="J1620" s="38">
        <v>390.7</v>
      </c>
      <c r="P1620" s="57" t="s">
        <v>179</v>
      </c>
      <c r="Q1620" s="57"/>
      <c r="R1620" s="57"/>
      <c r="S1620" s="57" t="s">
        <v>1640</v>
      </c>
      <c r="T1620" s="57" t="s">
        <v>1640</v>
      </c>
      <c r="V1620" s="38">
        <v>3</v>
      </c>
      <c r="W1620" s="38">
        <v>32</v>
      </c>
      <c r="X1620" s="38" t="s">
        <v>526</v>
      </c>
      <c r="AB1620" s="38" t="s">
        <v>1595</v>
      </c>
      <c r="AC1620" s="38" t="s">
        <v>1361</v>
      </c>
      <c r="AD1620" s="153" t="str">
        <f t="shared" si="282"/>
        <v>Brassica</v>
      </c>
      <c r="AE1620" s="38" t="s">
        <v>1360</v>
      </c>
      <c r="AG1620" s="38" t="s">
        <v>154</v>
      </c>
      <c r="AQ1620" s="38">
        <v>4</v>
      </c>
      <c r="AR1620" s="38">
        <v>4</v>
      </c>
      <c r="AS1620" s="38" t="s">
        <v>404</v>
      </c>
      <c r="AX1620" s="38" t="s">
        <v>1365</v>
      </c>
      <c r="DP1620" s="38">
        <v>1.3</v>
      </c>
      <c r="DQ1620" s="38">
        <v>0.3</v>
      </c>
      <c r="DR1620" s="38" t="s">
        <v>1362</v>
      </c>
      <c r="FC1620" s="38">
        <v>74</v>
      </c>
    </row>
    <row r="1621" spans="1:159" s="38" customFormat="1" x14ac:dyDescent="0.25">
      <c r="A1621" s="38">
        <v>74</v>
      </c>
      <c r="B1621" s="38" t="s">
        <v>1356</v>
      </c>
      <c r="C1621" s="38" t="s">
        <v>1357</v>
      </c>
      <c r="D1621" s="38">
        <v>2013</v>
      </c>
      <c r="E1621" s="38">
        <v>2011</v>
      </c>
      <c r="F1621" s="38" t="s">
        <v>1358</v>
      </c>
      <c r="G1621" s="38" t="s">
        <v>1359</v>
      </c>
      <c r="H1621" s="38">
        <v>32.24</v>
      </c>
      <c r="I1621" s="38">
        <v>-98.2</v>
      </c>
      <c r="J1621" s="38">
        <v>390.7</v>
      </c>
      <c r="P1621" s="57" t="s">
        <v>179</v>
      </c>
      <c r="Q1621" s="57"/>
      <c r="R1621" s="57"/>
      <c r="S1621" s="57" t="s">
        <v>1640</v>
      </c>
      <c r="T1621" s="57" t="s">
        <v>1640</v>
      </c>
      <c r="V1621" s="38">
        <v>3</v>
      </c>
      <c r="W1621" s="38">
        <v>32</v>
      </c>
      <c r="X1621" s="38" t="s">
        <v>526</v>
      </c>
      <c r="AB1621" s="38" t="s">
        <v>1595</v>
      </c>
      <c r="AC1621" s="38" t="s">
        <v>1361</v>
      </c>
      <c r="AD1621" s="153" t="str">
        <f t="shared" si="282"/>
        <v>Brassica</v>
      </c>
      <c r="AE1621" s="38" t="s">
        <v>1360</v>
      </c>
      <c r="AG1621" s="38" t="s">
        <v>154</v>
      </c>
      <c r="AQ1621" s="38">
        <v>4</v>
      </c>
      <c r="AR1621" s="38">
        <v>4</v>
      </c>
      <c r="AS1621" s="38" t="s">
        <v>404</v>
      </c>
      <c r="AX1621" s="38" t="s">
        <v>1366</v>
      </c>
      <c r="DP1621" s="38">
        <v>0.3</v>
      </c>
      <c r="DQ1621" s="38">
        <v>0</v>
      </c>
      <c r="DR1621" s="38" t="s">
        <v>1362</v>
      </c>
      <c r="FC1621" s="38">
        <v>74</v>
      </c>
    </row>
    <row r="1622" spans="1:159" s="38" customFormat="1" x14ac:dyDescent="0.25">
      <c r="A1622" s="38">
        <v>74</v>
      </c>
      <c r="B1622" s="38" t="s">
        <v>1356</v>
      </c>
      <c r="C1622" s="38" t="s">
        <v>1357</v>
      </c>
      <c r="D1622" s="38">
        <v>2013</v>
      </c>
      <c r="E1622" s="38">
        <v>2011</v>
      </c>
      <c r="F1622" s="38" t="s">
        <v>1358</v>
      </c>
      <c r="G1622" s="38" t="s">
        <v>1359</v>
      </c>
      <c r="H1622" s="38">
        <v>32.24</v>
      </c>
      <c r="I1622" s="38">
        <v>-98.2</v>
      </c>
      <c r="J1622" s="38">
        <v>390.7</v>
      </c>
      <c r="P1622" s="57" t="s">
        <v>179</v>
      </c>
      <c r="Q1622" s="57"/>
      <c r="R1622" s="57"/>
      <c r="S1622" s="57" t="s">
        <v>1640</v>
      </c>
      <c r="T1622" s="57" t="s">
        <v>1640</v>
      </c>
      <c r="V1622" s="38">
        <v>3</v>
      </c>
      <c r="W1622" s="38">
        <v>32</v>
      </c>
      <c r="X1622" s="38" t="s">
        <v>526</v>
      </c>
      <c r="AB1622" s="38" t="s">
        <v>1595</v>
      </c>
      <c r="AC1622" s="38" t="s">
        <v>1361</v>
      </c>
      <c r="AD1622" s="153" t="str">
        <f t="shared" si="282"/>
        <v>Brassica</v>
      </c>
      <c r="AE1622" s="38" t="s">
        <v>1360</v>
      </c>
      <c r="AG1622" s="38" t="s">
        <v>154</v>
      </c>
      <c r="AQ1622" s="38">
        <v>4</v>
      </c>
      <c r="AR1622" s="38">
        <v>4</v>
      </c>
      <c r="AS1622" s="38" t="s">
        <v>404</v>
      </c>
      <c r="AX1622" s="38" t="s">
        <v>1367</v>
      </c>
      <c r="DP1622" s="38">
        <v>2.2999999999999998</v>
      </c>
      <c r="DQ1622" s="38">
        <v>1</v>
      </c>
      <c r="DR1622" s="38" t="s">
        <v>1362</v>
      </c>
      <c r="FC1622" s="38">
        <v>74</v>
      </c>
    </row>
    <row r="1623" spans="1:159" s="26" customFormat="1" x14ac:dyDescent="0.25">
      <c r="A1623" s="26">
        <v>75</v>
      </c>
      <c r="B1623" s="26" t="s">
        <v>1369</v>
      </c>
      <c r="C1623" s="26" t="s">
        <v>1370</v>
      </c>
      <c r="D1623" s="26">
        <v>1989</v>
      </c>
      <c r="E1623" s="26">
        <v>1985</v>
      </c>
      <c r="F1623" s="26" t="s">
        <v>524</v>
      </c>
      <c r="G1623" s="26" t="s">
        <v>1371</v>
      </c>
      <c r="H1623" s="26">
        <v>38.950000000000003</v>
      </c>
      <c r="I1623" s="26">
        <v>-91.94</v>
      </c>
      <c r="J1623" s="26">
        <v>251.9</v>
      </c>
      <c r="P1623" s="52" t="s">
        <v>179</v>
      </c>
      <c r="Q1623" s="52"/>
      <c r="R1623" s="52" t="s">
        <v>1376</v>
      </c>
      <c r="S1623" s="52" t="s">
        <v>1640</v>
      </c>
      <c r="T1623" s="52" t="s">
        <v>1640</v>
      </c>
      <c r="X1623" s="26" t="s">
        <v>168</v>
      </c>
      <c r="AB1623" s="26" t="s">
        <v>1596</v>
      </c>
      <c r="AC1623" s="26" t="s">
        <v>1825</v>
      </c>
      <c r="AD1623" s="153" t="str">
        <f t="shared" si="282"/>
        <v>Common_chickweed</v>
      </c>
      <c r="AE1623" s="26" t="s">
        <v>205</v>
      </c>
      <c r="AG1623" s="26" t="s">
        <v>154</v>
      </c>
      <c r="AM1623" s="26" t="s">
        <v>1377</v>
      </c>
      <c r="AN1623" s="26" t="s">
        <v>1377</v>
      </c>
      <c r="AO1623" s="26" t="s">
        <v>230</v>
      </c>
      <c r="AQ1623" s="26">
        <v>2</v>
      </c>
      <c r="AR1623" s="26">
        <v>2</v>
      </c>
      <c r="AS1623" s="26" t="s">
        <v>177</v>
      </c>
      <c r="CU1623" s="26">
        <v>336</v>
      </c>
      <c r="CV1623" s="26">
        <v>0</v>
      </c>
      <c r="CW1623" s="26" t="s">
        <v>1379</v>
      </c>
      <c r="CX1623" s="26">
        <v>4</v>
      </c>
      <c r="CY1623" s="26">
        <v>0</v>
      </c>
      <c r="CZ1623" s="26" t="s">
        <v>1378</v>
      </c>
      <c r="FC1623" s="26">
        <v>75</v>
      </c>
    </row>
    <row r="1624" spans="1:159" s="26" customFormat="1" x14ac:dyDescent="0.25">
      <c r="A1624" s="26">
        <v>75</v>
      </c>
      <c r="B1624" s="26" t="s">
        <v>1369</v>
      </c>
      <c r="C1624" s="26" t="s">
        <v>1370</v>
      </c>
      <c r="D1624" s="26">
        <v>1989</v>
      </c>
      <c r="E1624" s="26">
        <v>1985</v>
      </c>
      <c r="F1624" s="26" t="s">
        <v>524</v>
      </c>
      <c r="G1624" s="26" t="s">
        <v>1371</v>
      </c>
      <c r="H1624" s="26">
        <v>38.950000000000003</v>
      </c>
      <c r="I1624" s="26">
        <v>-91.94</v>
      </c>
      <c r="J1624" s="26">
        <v>251.9</v>
      </c>
      <c r="P1624" s="52" t="s">
        <v>179</v>
      </c>
      <c r="Q1624" s="52"/>
      <c r="R1624" s="52" t="s">
        <v>1372</v>
      </c>
      <c r="S1624" s="52" t="s">
        <v>1640</v>
      </c>
      <c r="T1624" s="52" t="s">
        <v>1640</v>
      </c>
      <c r="X1624" s="26" t="s">
        <v>168</v>
      </c>
      <c r="AB1624" s="26" t="s">
        <v>1596</v>
      </c>
      <c r="AC1624" s="26" t="s">
        <v>1825</v>
      </c>
      <c r="AD1624" s="153" t="str">
        <f t="shared" si="282"/>
        <v>Common_chickweed</v>
      </c>
      <c r="AE1624" s="26" t="s">
        <v>205</v>
      </c>
      <c r="AG1624" s="26" t="s">
        <v>154</v>
      </c>
      <c r="AM1624" s="26" t="s">
        <v>1377</v>
      </c>
      <c r="AN1624" s="26" t="s">
        <v>1377</v>
      </c>
      <c r="AO1624" s="26" t="s">
        <v>230</v>
      </c>
      <c r="AQ1624" s="26">
        <v>2</v>
      </c>
      <c r="AR1624" s="26">
        <v>2</v>
      </c>
      <c r="AS1624" s="26" t="s">
        <v>177</v>
      </c>
      <c r="CU1624" s="26">
        <v>1984</v>
      </c>
      <c r="CV1624" s="26">
        <v>381</v>
      </c>
      <c r="CW1624" s="26" t="s">
        <v>1379</v>
      </c>
      <c r="CX1624" s="26">
        <v>53</v>
      </c>
      <c r="CY1624" s="26">
        <v>31</v>
      </c>
      <c r="CZ1624" s="26" t="s">
        <v>1378</v>
      </c>
      <c r="FC1624" s="26">
        <v>75</v>
      </c>
    </row>
    <row r="1625" spans="1:159" s="26" customFormat="1" x14ac:dyDescent="0.25">
      <c r="A1625" s="26">
        <v>75</v>
      </c>
      <c r="B1625" s="26" t="s">
        <v>1369</v>
      </c>
      <c r="C1625" s="26" t="s">
        <v>1370</v>
      </c>
      <c r="D1625" s="26">
        <v>1989</v>
      </c>
      <c r="E1625" s="26">
        <v>1985</v>
      </c>
      <c r="F1625" s="26" t="s">
        <v>524</v>
      </c>
      <c r="G1625" s="26" t="s">
        <v>1371</v>
      </c>
      <c r="H1625" s="26">
        <v>38.950000000000003</v>
      </c>
      <c r="I1625" s="26">
        <v>-91.94</v>
      </c>
      <c r="J1625" s="26">
        <v>251.9</v>
      </c>
      <c r="P1625" s="52" t="s">
        <v>179</v>
      </c>
      <c r="Q1625" s="52"/>
      <c r="R1625" s="52" t="s">
        <v>1373</v>
      </c>
      <c r="S1625" s="52" t="s">
        <v>1640</v>
      </c>
      <c r="T1625" s="52" t="s">
        <v>1640</v>
      </c>
      <c r="X1625" s="26" t="s">
        <v>168</v>
      </c>
      <c r="AB1625" s="26" t="s">
        <v>1596</v>
      </c>
      <c r="AC1625" s="26" t="s">
        <v>1825</v>
      </c>
      <c r="AD1625" s="153" t="str">
        <f t="shared" si="282"/>
        <v>Common_chickweed</v>
      </c>
      <c r="AE1625" s="26" t="s">
        <v>205</v>
      </c>
      <c r="AG1625" s="26" t="s">
        <v>154</v>
      </c>
      <c r="AM1625" s="26" t="s">
        <v>1377</v>
      </c>
      <c r="AN1625" s="26" t="s">
        <v>1377</v>
      </c>
      <c r="AO1625" s="26" t="s">
        <v>230</v>
      </c>
      <c r="AQ1625" s="26">
        <v>2</v>
      </c>
      <c r="AR1625" s="26">
        <v>2</v>
      </c>
      <c r="AS1625" s="26" t="s">
        <v>177</v>
      </c>
      <c r="CU1625" s="26">
        <v>1E-3</v>
      </c>
      <c r="CV1625" s="26">
        <v>0</v>
      </c>
      <c r="CW1625" s="26" t="s">
        <v>1379</v>
      </c>
      <c r="CX1625" s="26">
        <v>3</v>
      </c>
      <c r="CY1625" s="26">
        <v>0</v>
      </c>
      <c r="CZ1625" s="26" t="s">
        <v>1378</v>
      </c>
      <c r="FC1625" s="26">
        <v>75</v>
      </c>
    </row>
    <row r="1626" spans="1:159" s="26" customFormat="1" x14ac:dyDescent="0.25">
      <c r="A1626" s="26">
        <v>75</v>
      </c>
      <c r="B1626" s="26" t="s">
        <v>1369</v>
      </c>
      <c r="C1626" s="26" t="s">
        <v>1370</v>
      </c>
      <c r="D1626" s="26">
        <v>1989</v>
      </c>
      <c r="E1626" s="26">
        <v>1985</v>
      </c>
      <c r="F1626" s="26" t="s">
        <v>524</v>
      </c>
      <c r="G1626" s="26" t="s">
        <v>1371</v>
      </c>
      <c r="H1626" s="26">
        <v>38.950000000000003</v>
      </c>
      <c r="I1626" s="26">
        <v>-91.94</v>
      </c>
      <c r="J1626" s="26">
        <v>251.9</v>
      </c>
      <c r="P1626" s="52" t="s">
        <v>179</v>
      </c>
      <c r="Q1626" s="52"/>
      <c r="R1626" s="52" t="s">
        <v>1374</v>
      </c>
      <c r="S1626" s="52" t="s">
        <v>1640</v>
      </c>
      <c r="T1626" s="52" t="s">
        <v>1640</v>
      </c>
      <c r="X1626" s="26" t="s">
        <v>168</v>
      </c>
      <c r="AB1626" s="26" t="s">
        <v>1596</v>
      </c>
      <c r="AC1626" s="26" t="s">
        <v>1825</v>
      </c>
      <c r="AD1626" s="153" t="str">
        <f t="shared" si="282"/>
        <v>Common_chickweed</v>
      </c>
      <c r="AE1626" s="26" t="s">
        <v>205</v>
      </c>
      <c r="AG1626" s="26" t="s">
        <v>154</v>
      </c>
      <c r="AM1626" s="26" t="s">
        <v>1377</v>
      </c>
      <c r="AN1626" s="26" t="s">
        <v>1377</v>
      </c>
      <c r="AO1626" s="26" t="s">
        <v>230</v>
      </c>
      <c r="AQ1626" s="26">
        <v>2</v>
      </c>
      <c r="AR1626" s="26">
        <v>2</v>
      </c>
      <c r="AS1626" s="26" t="s">
        <v>177</v>
      </c>
      <c r="CU1626" s="26">
        <v>1E-3</v>
      </c>
      <c r="CV1626" s="26">
        <v>0</v>
      </c>
      <c r="CW1626" s="26" t="s">
        <v>1379</v>
      </c>
      <c r="CX1626" s="26">
        <v>258</v>
      </c>
      <c r="CY1626" s="26">
        <v>156</v>
      </c>
      <c r="CZ1626" s="26" t="s">
        <v>1378</v>
      </c>
      <c r="FC1626" s="26">
        <v>75</v>
      </c>
    </row>
    <row r="1627" spans="1:159" s="26" customFormat="1" x14ac:dyDescent="0.25">
      <c r="A1627" s="26">
        <v>75</v>
      </c>
      <c r="B1627" s="26" t="s">
        <v>1369</v>
      </c>
      <c r="C1627" s="26" t="s">
        <v>1370</v>
      </c>
      <c r="D1627" s="26">
        <v>1989</v>
      </c>
      <c r="E1627" s="26">
        <v>1985</v>
      </c>
      <c r="F1627" s="26" t="s">
        <v>524</v>
      </c>
      <c r="G1627" s="26" t="s">
        <v>1371</v>
      </c>
      <c r="H1627" s="26">
        <v>38.950000000000003</v>
      </c>
      <c r="I1627" s="26">
        <v>-91.94</v>
      </c>
      <c r="J1627" s="26">
        <v>251.9</v>
      </c>
      <c r="P1627" s="52" t="s">
        <v>179</v>
      </c>
      <c r="Q1627" s="52"/>
      <c r="R1627" s="52" t="s">
        <v>1375</v>
      </c>
      <c r="S1627" s="52" t="s">
        <v>1640</v>
      </c>
      <c r="T1627" s="52" t="s">
        <v>1640</v>
      </c>
      <c r="X1627" s="26" t="s">
        <v>168</v>
      </c>
      <c r="AB1627" s="26" t="s">
        <v>1596</v>
      </c>
      <c r="AC1627" s="26" t="s">
        <v>1825</v>
      </c>
      <c r="AD1627" s="153" t="str">
        <f t="shared" si="282"/>
        <v>Common_chickweed</v>
      </c>
      <c r="AE1627" s="26" t="s">
        <v>205</v>
      </c>
      <c r="AG1627" s="26" t="s">
        <v>154</v>
      </c>
      <c r="AM1627" s="26" t="s">
        <v>1377</v>
      </c>
      <c r="AN1627" s="26" t="s">
        <v>1377</v>
      </c>
      <c r="AO1627" s="26" t="s">
        <v>230</v>
      </c>
      <c r="AQ1627" s="26">
        <v>2</v>
      </c>
      <c r="AR1627" s="26">
        <v>2</v>
      </c>
      <c r="AS1627" s="26" t="s">
        <v>177</v>
      </c>
      <c r="CU1627" s="26">
        <v>2454</v>
      </c>
      <c r="CV1627" s="26">
        <v>420</v>
      </c>
      <c r="CW1627" s="26" t="s">
        <v>1379</v>
      </c>
      <c r="CX1627" s="26">
        <v>311</v>
      </c>
      <c r="CY1627" s="26">
        <v>213</v>
      </c>
      <c r="CZ1627" s="26" t="s">
        <v>1378</v>
      </c>
      <c r="FC1627" s="26">
        <v>75</v>
      </c>
    </row>
    <row r="1628" spans="1:159" s="35" customFormat="1" x14ac:dyDescent="0.25">
      <c r="A1628" s="35">
        <v>75</v>
      </c>
      <c r="B1628" s="35" t="s">
        <v>1369</v>
      </c>
      <c r="C1628" s="35" t="s">
        <v>1370</v>
      </c>
      <c r="D1628" s="35">
        <v>1989</v>
      </c>
      <c r="E1628" s="35">
        <v>1985</v>
      </c>
      <c r="F1628" s="35" t="s">
        <v>524</v>
      </c>
      <c r="G1628" s="35" t="s">
        <v>1371</v>
      </c>
      <c r="H1628" s="35">
        <v>38.950000000000003</v>
      </c>
      <c r="I1628" s="35">
        <v>-91.94</v>
      </c>
      <c r="J1628" s="35">
        <v>251.9</v>
      </c>
      <c r="P1628" s="54" t="s">
        <v>179</v>
      </c>
      <c r="Q1628" s="54"/>
      <c r="R1628" s="54" t="s">
        <v>1376</v>
      </c>
      <c r="S1628" s="54" t="s">
        <v>1640</v>
      </c>
      <c r="T1628" s="54" t="s">
        <v>1640</v>
      </c>
      <c r="X1628" s="35" t="s">
        <v>168</v>
      </c>
      <c r="AB1628" s="35" t="s">
        <v>1596</v>
      </c>
      <c r="AC1628" s="35" t="s">
        <v>1826</v>
      </c>
      <c r="AD1628" s="153" t="str">
        <f t="shared" si="282"/>
        <v>Canada_bluegrass</v>
      </c>
      <c r="AE1628" s="35" t="s">
        <v>205</v>
      </c>
      <c r="AG1628" s="35" t="s">
        <v>154</v>
      </c>
      <c r="AM1628" s="35" t="s">
        <v>1377</v>
      </c>
      <c r="AN1628" s="35" t="s">
        <v>1377</v>
      </c>
      <c r="AO1628" s="35" t="s">
        <v>230</v>
      </c>
      <c r="AQ1628" s="35">
        <v>2</v>
      </c>
      <c r="AR1628" s="35">
        <v>2</v>
      </c>
      <c r="AS1628" s="35" t="s">
        <v>177</v>
      </c>
      <c r="CU1628" s="35">
        <v>336</v>
      </c>
      <c r="CV1628" s="35">
        <v>0</v>
      </c>
      <c r="CW1628" s="35" t="s">
        <v>1379</v>
      </c>
      <c r="CX1628" s="35">
        <v>4</v>
      </c>
      <c r="CY1628" s="35">
        <v>0</v>
      </c>
      <c r="CZ1628" s="35" t="s">
        <v>1378</v>
      </c>
      <c r="FC1628" s="35">
        <v>75</v>
      </c>
    </row>
    <row r="1629" spans="1:159" s="35" customFormat="1" x14ac:dyDescent="0.25">
      <c r="A1629" s="35">
        <v>75</v>
      </c>
      <c r="B1629" s="35" t="s">
        <v>1369</v>
      </c>
      <c r="C1629" s="35" t="s">
        <v>1370</v>
      </c>
      <c r="D1629" s="35">
        <v>1989</v>
      </c>
      <c r="E1629" s="35">
        <v>1985</v>
      </c>
      <c r="F1629" s="35" t="s">
        <v>524</v>
      </c>
      <c r="G1629" s="35" t="s">
        <v>1371</v>
      </c>
      <c r="H1629" s="35">
        <v>38.950000000000003</v>
      </c>
      <c r="I1629" s="35">
        <v>-91.94</v>
      </c>
      <c r="J1629" s="35">
        <v>251.9</v>
      </c>
      <c r="P1629" s="54" t="s">
        <v>179</v>
      </c>
      <c r="Q1629" s="54"/>
      <c r="R1629" s="54" t="s">
        <v>1372</v>
      </c>
      <c r="S1629" s="54" t="s">
        <v>1640</v>
      </c>
      <c r="T1629" s="54" t="s">
        <v>1640</v>
      </c>
      <c r="X1629" s="35" t="s">
        <v>168</v>
      </c>
      <c r="AB1629" s="35" t="s">
        <v>1596</v>
      </c>
      <c r="AC1629" s="35" t="s">
        <v>1826</v>
      </c>
      <c r="AD1629" s="153" t="str">
        <f t="shared" si="282"/>
        <v>Canada_bluegrass</v>
      </c>
      <c r="AE1629" s="35" t="s">
        <v>205</v>
      </c>
      <c r="AG1629" s="35" t="s">
        <v>154</v>
      </c>
      <c r="AM1629" s="35" t="s">
        <v>1377</v>
      </c>
      <c r="AN1629" s="35" t="s">
        <v>1377</v>
      </c>
      <c r="AO1629" s="35" t="s">
        <v>230</v>
      </c>
      <c r="AQ1629" s="35">
        <v>2</v>
      </c>
      <c r="AR1629" s="35">
        <v>2</v>
      </c>
      <c r="AS1629" s="35" t="s">
        <v>177</v>
      </c>
      <c r="CU1629" s="35">
        <v>1984</v>
      </c>
      <c r="CV1629" s="35">
        <v>168</v>
      </c>
      <c r="CW1629" s="35" t="s">
        <v>1379</v>
      </c>
      <c r="CX1629" s="35">
        <v>53</v>
      </c>
      <c r="CY1629" s="35">
        <v>34</v>
      </c>
      <c r="CZ1629" s="35" t="s">
        <v>1378</v>
      </c>
      <c r="FC1629" s="35">
        <v>75</v>
      </c>
    </row>
    <row r="1630" spans="1:159" s="35" customFormat="1" x14ac:dyDescent="0.25">
      <c r="A1630" s="35">
        <v>75</v>
      </c>
      <c r="B1630" s="35" t="s">
        <v>1369</v>
      </c>
      <c r="C1630" s="35" t="s">
        <v>1370</v>
      </c>
      <c r="D1630" s="35">
        <v>1989</v>
      </c>
      <c r="E1630" s="35">
        <v>1985</v>
      </c>
      <c r="F1630" s="35" t="s">
        <v>524</v>
      </c>
      <c r="G1630" s="35" t="s">
        <v>1371</v>
      </c>
      <c r="H1630" s="35">
        <v>38.950000000000003</v>
      </c>
      <c r="I1630" s="35">
        <v>-91.94</v>
      </c>
      <c r="J1630" s="35">
        <v>251.9</v>
      </c>
      <c r="P1630" s="54" t="s">
        <v>179</v>
      </c>
      <c r="Q1630" s="54"/>
      <c r="R1630" s="54" t="s">
        <v>1373</v>
      </c>
      <c r="S1630" s="54" t="s">
        <v>1640</v>
      </c>
      <c r="T1630" s="54" t="s">
        <v>1640</v>
      </c>
      <c r="X1630" s="35" t="s">
        <v>168</v>
      </c>
      <c r="AB1630" s="35" t="s">
        <v>1596</v>
      </c>
      <c r="AC1630" s="35" t="s">
        <v>1826</v>
      </c>
      <c r="AD1630" s="153" t="str">
        <f t="shared" si="282"/>
        <v>Canada_bluegrass</v>
      </c>
      <c r="AE1630" s="35" t="s">
        <v>205</v>
      </c>
      <c r="AG1630" s="35" t="s">
        <v>154</v>
      </c>
      <c r="AM1630" s="35" t="s">
        <v>1377</v>
      </c>
      <c r="AN1630" s="35" t="s">
        <v>1377</v>
      </c>
      <c r="AO1630" s="35" t="s">
        <v>230</v>
      </c>
      <c r="AQ1630" s="35">
        <v>2</v>
      </c>
      <c r="AR1630" s="35">
        <v>2</v>
      </c>
      <c r="AS1630" s="35" t="s">
        <v>177</v>
      </c>
      <c r="CU1630" s="35">
        <v>1E-3</v>
      </c>
      <c r="CV1630" s="35">
        <v>0</v>
      </c>
      <c r="CW1630" s="35" t="s">
        <v>1379</v>
      </c>
      <c r="CX1630" s="35">
        <v>3</v>
      </c>
      <c r="CY1630" s="35">
        <v>0</v>
      </c>
      <c r="CZ1630" s="35" t="s">
        <v>1378</v>
      </c>
      <c r="FC1630" s="35">
        <v>75</v>
      </c>
    </row>
    <row r="1631" spans="1:159" s="35" customFormat="1" x14ac:dyDescent="0.25">
      <c r="A1631" s="35">
        <v>75</v>
      </c>
      <c r="B1631" s="35" t="s">
        <v>1369</v>
      </c>
      <c r="C1631" s="35" t="s">
        <v>1370</v>
      </c>
      <c r="D1631" s="35">
        <v>1989</v>
      </c>
      <c r="E1631" s="35">
        <v>1985</v>
      </c>
      <c r="F1631" s="35" t="s">
        <v>524</v>
      </c>
      <c r="G1631" s="35" t="s">
        <v>1371</v>
      </c>
      <c r="H1631" s="35">
        <v>38.950000000000003</v>
      </c>
      <c r="I1631" s="35">
        <v>-91.94</v>
      </c>
      <c r="J1631" s="35">
        <v>251.9</v>
      </c>
      <c r="P1631" s="54" t="s">
        <v>179</v>
      </c>
      <c r="Q1631" s="54"/>
      <c r="R1631" s="54" t="s">
        <v>1374</v>
      </c>
      <c r="S1631" s="54" t="s">
        <v>1640</v>
      </c>
      <c r="T1631" s="54" t="s">
        <v>1640</v>
      </c>
      <c r="X1631" s="35" t="s">
        <v>168</v>
      </c>
      <c r="AB1631" s="35" t="s">
        <v>1596</v>
      </c>
      <c r="AC1631" s="35" t="s">
        <v>1826</v>
      </c>
      <c r="AD1631" s="153" t="str">
        <f t="shared" si="282"/>
        <v>Canada_bluegrass</v>
      </c>
      <c r="AE1631" s="35" t="s">
        <v>205</v>
      </c>
      <c r="AG1631" s="35" t="s">
        <v>154</v>
      </c>
      <c r="AM1631" s="35" t="s">
        <v>1377</v>
      </c>
      <c r="AN1631" s="35" t="s">
        <v>1377</v>
      </c>
      <c r="AO1631" s="35" t="s">
        <v>230</v>
      </c>
      <c r="AQ1631" s="35">
        <v>2</v>
      </c>
      <c r="AR1631" s="35">
        <v>2</v>
      </c>
      <c r="AS1631" s="35" t="s">
        <v>177</v>
      </c>
      <c r="CU1631" s="35">
        <v>1E-3</v>
      </c>
      <c r="CV1631" s="35">
        <v>0</v>
      </c>
      <c r="CW1631" s="35" t="s">
        <v>1379</v>
      </c>
      <c r="CX1631" s="35">
        <v>258</v>
      </c>
      <c r="CY1631" s="35">
        <v>180</v>
      </c>
      <c r="CZ1631" s="35" t="s">
        <v>1378</v>
      </c>
      <c r="FC1631" s="35">
        <v>75</v>
      </c>
    </row>
    <row r="1632" spans="1:159" s="35" customFormat="1" x14ac:dyDescent="0.25">
      <c r="A1632" s="35">
        <v>75</v>
      </c>
      <c r="B1632" s="35" t="s">
        <v>1369</v>
      </c>
      <c r="C1632" s="35" t="s">
        <v>1370</v>
      </c>
      <c r="D1632" s="35">
        <v>1989</v>
      </c>
      <c r="E1632" s="35">
        <v>1985</v>
      </c>
      <c r="F1632" s="35" t="s">
        <v>524</v>
      </c>
      <c r="G1632" s="35" t="s">
        <v>1371</v>
      </c>
      <c r="H1632" s="35">
        <v>38.950000000000003</v>
      </c>
      <c r="I1632" s="35">
        <v>-91.94</v>
      </c>
      <c r="J1632" s="35">
        <v>251.9</v>
      </c>
      <c r="P1632" s="54" t="s">
        <v>179</v>
      </c>
      <c r="Q1632" s="54"/>
      <c r="R1632" s="54" t="s">
        <v>1375</v>
      </c>
      <c r="S1632" s="54" t="s">
        <v>1640</v>
      </c>
      <c r="T1632" s="54" t="s">
        <v>1640</v>
      </c>
      <c r="X1632" s="35" t="s">
        <v>168</v>
      </c>
      <c r="AB1632" s="35" t="s">
        <v>1596</v>
      </c>
      <c r="AC1632" s="35" t="s">
        <v>1826</v>
      </c>
      <c r="AD1632" s="153" t="str">
        <f t="shared" si="282"/>
        <v>Canada_bluegrass</v>
      </c>
      <c r="AE1632" s="35" t="s">
        <v>205</v>
      </c>
      <c r="AG1632" s="35" t="s">
        <v>154</v>
      </c>
      <c r="AM1632" s="35" t="s">
        <v>1377</v>
      </c>
      <c r="AN1632" s="35" t="s">
        <v>1377</v>
      </c>
      <c r="AO1632" s="35" t="s">
        <v>230</v>
      </c>
      <c r="AQ1632" s="35">
        <v>2</v>
      </c>
      <c r="AR1632" s="35">
        <v>2</v>
      </c>
      <c r="AS1632" s="35" t="s">
        <v>177</v>
      </c>
      <c r="CU1632" s="35">
        <v>2454</v>
      </c>
      <c r="CV1632" s="35">
        <v>185</v>
      </c>
      <c r="CW1632" s="35" t="s">
        <v>1379</v>
      </c>
      <c r="CX1632" s="35">
        <v>311</v>
      </c>
      <c r="CY1632" s="35">
        <v>217</v>
      </c>
      <c r="CZ1632" s="35" t="s">
        <v>1378</v>
      </c>
      <c r="FC1632" s="35">
        <v>75</v>
      </c>
    </row>
    <row r="1633" spans="1:159" s="26" customFormat="1" x14ac:dyDescent="0.25">
      <c r="A1633" s="26">
        <v>75</v>
      </c>
      <c r="B1633" s="26" t="s">
        <v>1369</v>
      </c>
      <c r="C1633" s="26" t="s">
        <v>1370</v>
      </c>
      <c r="D1633" s="26">
        <v>1989</v>
      </c>
      <c r="E1633" s="26">
        <v>1985</v>
      </c>
      <c r="F1633" s="26" t="s">
        <v>524</v>
      </c>
      <c r="G1633" s="26" t="s">
        <v>1371</v>
      </c>
      <c r="H1633" s="26">
        <v>38.950000000000003</v>
      </c>
      <c r="I1633" s="26">
        <v>-91.94</v>
      </c>
      <c r="J1633" s="26">
        <v>251.9</v>
      </c>
      <c r="P1633" s="52" t="s">
        <v>179</v>
      </c>
      <c r="Q1633" s="52"/>
      <c r="R1633" s="52" t="s">
        <v>1376</v>
      </c>
      <c r="S1633" s="52" t="s">
        <v>1640</v>
      </c>
      <c r="T1633" s="52" t="s">
        <v>1640</v>
      </c>
      <c r="X1633" s="26" t="s">
        <v>168</v>
      </c>
      <c r="AB1633" s="26" t="s">
        <v>1596</v>
      </c>
      <c r="AC1633" s="26" t="s">
        <v>1827</v>
      </c>
      <c r="AD1633" s="153" t="str">
        <f t="shared" si="282"/>
        <v>Rye</v>
      </c>
      <c r="AE1633" s="26" t="s">
        <v>205</v>
      </c>
      <c r="AG1633" s="26" t="s">
        <v>154</v>
      </c>
      <c r="AM1633" s="26" t="s">
        <v>1377</v>
      </c>
      <c r="AN1633" s="26" t="s">
        <v>1377</v>
      </c>
      <c r="AO1633" s="26" t="s">
        <v>230</v>
      </c>
      <c r="AQ1633" s="26">
        <v>2</v>
      </c>
      <c r="AR1633" s="26">
        <v>2</v>
      </c>
      <c r="AS1633" s="26" t="s">
        <v>177</v>
      </c>
      <c r="CU1633" s="26">
        <v>336</v>
      </c>
      <c r="CV1633" s="26">
        <v>0</v>
      </c>
      <c r="CW1633" s="26" t="s">
        <v>1379</v>
      </c>
      <c r="CX1633" s="26">
        <v>4</v>
      </c>
      <c r="CY1633" s="26">
        <v>0</v>
      </c>
      <c r="CZ1633" s="26" t="s">
        <v>1378</v>
      </c>
      <c r="FC1633" s="26">
        <v>75</v>
      </c>
    </row>
    <row r="1634" spans="1:159" s="26" customFormat="1" x14ac:dyDescent="0.25">
      <c r="A1634" s="26">
        <v>75</v>
      </c>
      <c r="B1634" s="26" t="s">
        <v>1369</v>
      </c>
      <c r="C1634" s="26" t="s">
        <v>1370</v>
      </c>
      <c r="D1634" s="26">
        <v>1989</v>
      </c>
      <c r="E1634" s="26">
        <v>1985</v>
      </c>
      <c r="F1634" s="26" t="s">
        <v>524</v>
      </c>
      <c r="G1634" s="26" t="s">
        <v>1371</v>
      </c>
      <c r="H1634" s="26">
        <v>38.950000000000003</v>
      </c>
      <c r="I1634" s="26">
        <v>-91.94</v>
      </c>
      <c r="J1634" s="26">
        <v>251.9</v>
      </c>
      <c r="P1634" s="52" t="s">
        <v>179</v>
      </c>
      <c r="Q1634" s="52"/>
      <c r="R1634" s="52" t="s">
        <v>1372</v>
      </c>
      <c r="S1634" s="52" t="s">
        <v>1640</v>
      </c>
      <c r="T1634" s="52" t="s">
        <v>1640</v>
      </c>
      <c r="X1634" s="26" t="s">
        <v>168</v>
      </c>
      <c r="AB1634" s="26" t="s">
        <v>1596</v>
      </c>
      <c r="AC1634" s="26" t="s">
        <v>1827</v>
      </c>
      <c r="AD1634" s="153" t="str">
        <f t="shared" si="282"/>
        <v>Rye</v>
      </c>
      <c r="AE1634" s="26" t="s">
        <v>205</v>
      </c>
      <c r="AG1634" s="26" t="s">
        <v>154</v>
      </c>
      <c r="AM1634" s="26" t="s">
        <v>1377</v>
      </c>
      <c r="AN1634" s="26" t="s">
        <v>1377</v>
      </c>
      <c r="AO1634" s="26" t="s">
        <v>230</v>
      </c>
      <c r="AQ1634" s="26">
        <v>2</v>
      </c>
      <c r="AR1634" s="26">
        <v>2</v>
      </c>
      <c r="AS1634" s="26" t="s">
        <v>177</v>
      </c>
      <c r="CU1634" s="26">
        <v>1984</v>
      </c>
      <c r="CV1634" s="26">
        <v>213</v>
      </c>
      <c r="CW1634" s="26" t="s">
        <v>1379</v>
      </c>
      <c r="CX1634" s="26">
        <v>53</v>
      </c>
      <c r="CY1634" s="26">
        <v>25</v>
      </c>
      <c r="CZ1634" s="26" t="s">
        <v>1378</v>
      </c>
      <c r="FC1634" s="26">
        <v>75</v>
      </c>
    </row>
    <row r="1635" spans="1:159" s="26" customFormat="1" x14ac:dyDescent="0.25">
      <c r="A1635" s="26">
        <v>75</v>
      </c>
      <c r="B1635" s="26" t="s">
        <v>1369</v>
      </c>
      <c r="C1635" s="26" t="s">
        <v>1370</v>
      </c>
      <c r="D1635" s="26">
        <v>1989</v>
      </c>
      <c r="E1635" s="26">
        <v>1985</v>
      </c>
      <c r="F1635" s="26" t="s">
        <v>524</v>
      </c>
      <c r="G1635" s="26" t="s">
        <v>1371</v>
      </c>
      <c r="H1635" s="26">
        <v>38.950000000000003</v>
      </c>
      <c r="I1635" s="26">
        <v>-91.94</v>
      </c>
      <c r="J1635" s="26">
        <v>251.9</v>
      </c>
      <c r="P1635" s="52" t="s">
        <v>179</v>
      </c>
      <c r="Q1635" s="52"/>
      <c r="R1635" s="52" t="s">
        <v>1373</v>
      </c>
      <c r="S1635" s="52" t="s">
        <v>1640</v>
      </c>
      <c r="T1635" s="52" t="s">
        <v>1640</v>
      </c>
      <c r="X1635" s="26" t="s">
        <v>168</v>
      </c>
      <c r="AB1635" s="26" t="s">
        <v>1596</v>
      </c>
      <c r="AC1635" s="26" t="s">
        <v>1827</v>
      </c>
      <c r="AD1635" s="153" t="str">
        <f t="shared" si="282"/>
        <v>Rye</v>
      </c>
      <c r="AE1635" s="26" t="s">
        <v>205</v>
      </c>
      <c r="AG1635" s="26" t="s">
        <v>154</v>
      </c>
      <c r="AM1635" s="26" t="s">
        <v>1377</v>
      </c>
      <c r="AN1635" s="26" t="s">
        <v>1377</v>
      </c>
      <c r="AO1635" s="26" t="s">
        <v>230</v>
      </c>
      <c r="AQ1635" s="26">
        <v>2</v>
      </c>
      <c r="AR1635" s="26">
        <v>2</v>
      </c>
      <c r="AS1635" s="26" t="s">
        <v>177</v>
      </c>
      <c r="CU1635" s="26">
        <v>1E-3</v>
      </c>
      <c r="CV1635" s="26">
        <v>0</v>
      </c>
      <c r="CW1635" s="26" t="s">
        <v>1379</v>
      </c>
      <c r="CX1635" s="26">
        <v>3</v>
      </c>
      <c r="CY1635" s="26">
        <v>0</v>
      </c>
      <c r="CZ1635" s="26" t="s">
        <v>1378</v>
      </c>
      <c r="FC1635" s="26">
        <v>75</v>
      </c>
    </row>
    <row r="1636" spans="1:159" s="26" customFormat="1" x14ac:dyDescent="0.25">
      <c r="A1636" s="26">
        <v>75</v>
      </c>
      <c r="B1636" s="26" t="s">
        <v>1369</v>
      </c>
      <c r="C1636" s="26" t="s">
        <v>1370</v>
      </c>
      <c r="D1636" s="26">
        <v>1989</v>
      </c>
      <c r="E1636" s="26">
        <v>1985</v>
      </c>
      <c r="F1636" s="26" t="s">
        <v>524</v>
      </c>
      <c r="G1636" s="26" t="s">
        <v>1371</v>
      </c>
      <c r="H1636" s="26">
        <v>38.950000000000003</v>
      </c>
      <c r="I1636" s="26">
        <v>-91.94</v>
      </c>
      <c r="J1636" s="26">
        <v>251.9</v>
      </c>
      <c r="P1636" s="52" t="s">
        <v>179</v>
      </c>
      <c r="Q1636" s="52"/>
      <c r="R1636" s="52" t="s">
        <v>1374</v>
      </c>
      <c r="S1636" s="52" t="s">
        <v>1640</v>
      </c>
      <c r="T1636" s="52" t="s">
        <v>1640</v>
      </c>
      <c r="X1636" s="26" t="s">
        <v>168</v>
      </c>
      <c r="AB1636" s="26" t="s">
        <v>1596</v>
      </c>
      <c r="AC1636" s="26" t="s">
        <v>1827</v>
      </c>
      <c r="AD1636" s="153" t="str">
        <f t="shared" si="282"/>
        <v>Rye</v>
      </c>
      <c r="AE1636" s="26" t="s">
        <v>205</v>
      </c>
      <c r="AG1636" s="26" t="s">
        <v>154</v>
      </c>
      <c r="AM1636" s="26" t="s">
        <v>1377</v>
      </c>
      <c r="AN1636" s="26" t="s">
        <v>1377</v>
      </c>
      <c r="AO1636" s="26" t="s">
        <v>230</v>
      </c>
      <c r="AQ1636" s="26">
        <v>2</v>
      </c>
      <c r="AR1636" s="26">
        <v>2</v>
      </c>
      <c r="AS1636" s="26" t="s">
        <v>177</v>
      </c>
      <c r="CU1636" s="26">
        <v>1E-3</v>
      </c>
      <c r="CV1636" s="26">
        <v>0</v>
      </c>
      <c r="CW1636" s="26" t="s">
        <v>1379</v>
      </c>
      <c r="CX1636" s="26">
        <v>258</v>
      </c>
      <c r="CY1636" s="26">
        <v>136</v>
      </c>
      <c r="CZ1636" s="26" t="s">
        <v>1378</v>
      </c>
      <c r="FC1636" s="26">
        <v>75</v>
      </c>
    </row>
    <row r="1637" spans="1:159" s="26" customFormat="1" x14ac:dyDescent="0.25">
      <c r="A1637" s="26">
        <v>75</v>
      </c>
      <c r="B1637" s="26" t="s">
        <v>1369</v>
      </c>
      <c r="C1637" s="26" t="s">
        <v>1370</v>
      </c>
      <c r="D1637" s="26">
        <v>1989</v>
      </c>
      <c r="E1637" s="26">
        <v>1985</v>
      </c>
      <c r="F1637" s="26" t="s">
        <v>524</v>
      </c>
      <c r="G1637" s="26" t="s">
        <v>1371</v>
      </c>
      <c r="H1637" s="26">
        <v>38.950000000000003</v>
      </c>
      <c r="I1637" s="26">
        <v>-91.94</v>
      </c>
      <c r="J1637" s="26">
        <v>251.9</v>
      </c>
      <c r="P1637" s="52" t="s">
        <v>179</v>
      </c>
      <c r="Q1637" s="52"/>
      <c r="R1637" s="52" t="s">
        <v>1375</v>
      </c>
      <c r="S1637" s="52" t="s">
        <v>1640</v>
      </c>
      <c r="T1637" s="52" t="s">
        <v>1640</v>
      </c>
      <c r="X1637" s="26" t="s">
        <v>168</v>
      </c>
      <c r="AB1637" s="26" t="s">
        <v>1596</v>
      </c>
      <c r="AC1637" s="26" t="s">
        <v>1827</v>
      </c>
      <c r="AD1637" s="153" t="str">
        <f t="shared" si="282"/>
        <v>Rye</v>
      </c>
      <c r="AE1637" s="26" t="s">
        <v>205</v>
      </c>
      <c r="AG1637" s="26" t="s">
        <v>154</v>
      </c>
      <c r="AM1637" s="26" t="s">
        <v>1377</v>
      </c>
      <c r="AN1637" s="26" t="s">
        <v>1377</v>
      </c>
      <c r="AO1637" s="26" t="s">
        <v>230</v>
      </c>
      <c r="AQ1637" s="26">
        <v>2</v>
      </c>
      <c r="AR1637" s="26">
        <v>2</v>
      </c>
      <c r="AS1637" s="26" t="s">
        <v>177</v>
      </c>
      <c r="CU1637" s="26">
        <v>2454</v>
      </c>
      <c r="CV1637" s="26">
        <v>235</v>
      </c>
      <c r="CW1637" s="26" t="s">
        <v>1379</v>
      </c>
      <c r="CX1637" s="26">
        <v>311</v>
      </c>
      <c r="CY1637" s="26">
        <v>200</v>
      </c>
      <c r="CZ1637" s="26" t="s">
        <v>1378</v>
      </c>
      <c r="FC1637" s="26">
        <v>75</v>
      </c>
    </row>
    <row r="1638" spans="1:159" s="113" customFormat="1" x14ac:dyDescent="0.25">
      <c r="A1638" s="113">
        <v>75</v>
      </c>
      <c r="B1638" s="113" t="s">
        <v>1369</v>
      </c>
      <c r="C1638" s="113" t="s">
        <v>1370</v>
      </c>
      <c r="D1638" s="113">
        <v>1989</v>
      </c>
      <c r="E1638" s="113">
        <v>1986</v>
      </c>
      <c r="F1638" s="113" t="s">
        <v>524</v>
      </c>
      <c r="G1638" s="113" t="s">
        <v>1371</v>
      </c>
      <c r="H1638" s="113">
        <v>38.950000000000003</v>
      </c>
      <c r="I1638" s="113">
        <v>-91.94</v>
      </c>
      <c r="J1638" s="113">
        <v>251.9</v>
      </c>
      <c r="P1638" s="114" t="s">
        <v>180</v>
      </c>
      <c r="Q1638" s="114"/>
      <c r="R1638" s="114" t="s">
        <v>1376</v>
      </c>
      <c r="S1638" s="52" t="s">
        <v>1640</v>
      </c>
      <c r="T1638" s="52" t="s">
        <v>1640</v>
      </c>
      <c r="X1638" s="113" t="s">
        <v>168</v>
      </c>
      <c r="AB1638" s="113" t="s">
        <v>1596</v>
      </c>
      <c r="AC1638" s="113" t="s">
        <v>1825</v>
      </c>
      <c r="AD1638" s="153" t="str">
        <f t="shared" si="282"/>
        <v>Common_chickweed</v>
      </c>
      <c r="AE1638" s="113" t="s">
        <v>205</v>
      </c>
      <c r="AG1638" s="113" t="s">
        <v>154</v>
      </c>
      <c r="AM1638" s="113" t="s">
        <v>1377</v>
      </c>
      <c r="AN1638" s="113" t="s">
        <v>1377</v>
      </c>
      <c r="AO1638" s="113" t="s">
        <v>230</v>
      </c>
      <c r="AQ1638" s="113">
        <v>2</v>
      </c>
      <c r="AR1638" s="113">
        <v>2</v>
      </c>
      <c r="AS1638" s="113" t="s">
        <v>177</v>
      </c>
      <c r="CU1638" s="113">
        <v>562</v>
      </c>
      <c r="CV1638" s="113">
        <v>45</v>
      </c>
      <c r="CW1638" s="113" t="s">
        <v>1379</v>
      </c>
      <c r="CX1638" s="113">
        <v>10</v>
      </c>
      <c r="CY1638" s="113">
        <v>1</v>
      </c>
      <c r="CZ1638" s="113" t="s">
        <v>1378</v>
      </c>
      <c r="FC1638" s="113">
        <v>75</v>
      </c>
    </row>
    <row r="1639" spans="1:159" s="113" customFormat="1" x14ac:dyDescent="0.25">
      <c r="A1639" s="113">
        <v>75</v>
      </c>
      <c r="B1639" s="113" t="s">
        <v>1369</v>
      </c>
      <c r="C1639" s="113" t="s">
        <v>1370</v>
      </c>
      <c r="D1639" s="113">
        <v>1989</v>
      </c>
      <c r="E1639" s="113">
        <v>1986</v>
      </c>
      <c r="F1639" s="113" t="s">
        <v>524</v>
      </c>
      <c r="G1639" s="113" t="s">
        <v>1371</v>
      </c>
      <c r="H1639" s="113">
        <v>38.950000000000003</v>
      </c>
      <c r="I1639" s="113">
        <v>-91.94</v>
      </c>
      <c r="J1639" s="113">
        <v>251.9</v>
      </c>
      <c r="P1639" s="114" t="s">
        <v>180</v>
      </c>
      <c r="Q1639" s="114"/>
      <c r="R1639" s="114" t="s">
        <v>1372</v>
      </c>
      <c r="S1639" s="52" t="s">
        <v>1640</v>
      </c>
      <c r="T1639" s="52" t="s">
        <v>1640</v>
      </c>
      <c r="X1639" s="113" t="s">
        <v>168</v>
      </c>
      <c r="AB1639" s="113" t="s">
        <v>1596</v>
      </c>
      <c r="AC1639" s="113" t="s">
        <v>1825</v>
      </c>
      <c r="AD1639" s="153" t="str">
        <f t="shared" si="282"/>
        <v>Common_chickweed</v>
      </c>
      <c r="AE1639" s="113" t="s">
        <v>205</v>
      </c>
      <c r="AG1639" s="113" t="s">
        <v>154</v>
      </c>
      <c r="AM1639" s="113" t="s">
        <v>1377</v>
      </c>
      <c r="AN1639" s="113" t="s">
        <v>1377</v>
      </c>
      <c r="AO1639" s="113" t="s">
        <v>230</v>
      </c>
      <c r="AQ1639" s="113">
        <v>2</v>
      </c>
      <c r="AR1639" s="113">
        <v>2</v>
      </c>
      <c r="AS1639" s="113" t="s">
        <v>177</v>
      </c>
      <c r="CU1639" s="113">
        <v>1E-3</v>
      </c>
      <c r="CV1639" s="113">
        <v>0</v>
      </c>
      <c r="CW1639" s="113" t="s">
        <v>1379</v>
      </c>
      <c r="CX1639" s="113">
        <v>1</v>
      </c>
      <c r="CY1639" s="113">
        <v>0</v>
      </c>
      <c r="CZ1639" s="113" t="s">
        <v>1378</v>
      </c>
      <c r="FC1639" s="113">
        <v>75</v>
      </c>
    </row>
    <row r="1640" spans="1:159" s="113" customFormat="1" x14ac:dyDescent="0.25">
      <c r="A1640" s="113">
        <v>75</v>
      </c>
      <c r="B1640" s="113" t="s">
        <v>1369</v>
      </c>
      <c r="C1640" s="113" t="s">
        <v>1370</v>
      </c>
      <c r="D1640" s="113">
        <v>1989</v>
      </c>
      <c r="E1640" s="113">
        <v>1986</v>
      </c>
      <c r="F1640" s="113" t="s">
        <v>524</v>
      </c>
      <c r="G1640" s="113" t="s">
        <v>1371</v>
      </c>
      <c r="H1640" s="113">
        <v>38.950000000000003</v>
      </c>
      <c r="I1640" s="113">
        <v>-91.94</v>
      </c>
      <c r="J1640" s="113">
        <v>251.9</v>
      </c>
      <c r="P1640" s="114" t="s">
        <v>180</v>
      </c>
      <c r="Q1640" s="114"/>
      <c r="R1640" s="114" t="s">
        <v>1373</v>
      </c>
      <c r="S1640" s="52" t="s">
        <v>1640</v>
      </c>
      <c r="T1640" s="52" t="s">
        <v>1640</v>
      </c>
      <c r="X1640" s="113" t="s">
        <v>168</v>
      </c>
      <c r="AB1640" s="113" t="s">
        <v>1596</v>
      </c>
      <c r="AC1640" s="113" t="s">
        <v>1825</v>
      </c>
      <c r="AD1640" s="153" t="str">
        <f t="shared" si="282"/>
        <v>Common_chickweed</v>
      </c>
      <c r="AE1640" s="113" t="s">
        <v>205</v>
      </c>
      <c r="AG1640" s="113" t="s">
        <v>154</v>
      </c>
      <c r="AM1640" s="113" t="s">
        <v>1377</v>
      </c>
      <c r="AN1640" s="113" t="s">
        <v>1377</v>
      </c>
      <c r="AO1640" s="113" t="s">
        <v>230</v>
      </c>
      <c r="AQ1640" s="113">
        <v>2</v>
      </c>
      <c r="AR1640" s="113">
        <v>2</v>
      </c>
      <c r="AS1640" s="113" t="s">
        <v>177</v>
      </c>
      <c r="CU1640" s="113">
        <v>1E-3</v>
      </c>
      <c r="CV1640" s="113">
        <v>0</v>
      </c>
      <c r="CW1640" s="113" t="s">
        <v>1379</v>
      </c>
      <c r="CX1640" s="113">
        <v>7</v>
      </c>
      <c r="CY1640" s="113">
        <v>1</v>
      </c>
      <c r="CZ1640" s="113" t="s">
        <v>1378</v>
      </c>
      <c r="FC1640" s="113">
        <v>75</v>
      </c>
    </row>
    <row r="1641" spans="1:159" s="113" customFormat="1" x14ac:dyDescent="0.25">
      <c r="A1641" s="113">
        <v>75</v>
      </c>
      <c r="B1641" s="113" t="s">
        <v>1369</v>
      </c>
      <c r="C1641" s="113" t="s">
        <v>1370</v>
      </c>
      <c r="D1641" s="113">
        <v>1989</v>
      </c>
      <c r="E1641" s="113">
        <v>1986</v>
      </c>
      <c r="F1641" s="113" t="s">
        <v>524</v>
      </c>
      <c r="G1641" s="113" t="s">
        <v>1371</v>
      </c>
      <c r="H1641" s="113">
        <v>38.950000000000003</v>
      </c>
      <c r="I1641" s="113">
        <v>-91.94</v>
      </c>
      <c r="J1641" s="113">
        <v>251.9</v>
      </c>
      <c r="P1641" s="114" t="s">
        <v>180</v>
      </c>
      <c r="Q1641" s="114"/>
      <c r="R1641" s="114" t="s">
        <v>1374</v>
      </c>
      <c r="S1641" s="52" t="s">
        <v>1640</v>
      </c>
      <c r="T1641" s="52" t="s">
        <v>1640</v>
      </c>
      <c r="X1641" s="113" t="s">
        <v>168</v>
      </c>
      <c r="AB1641" s="113" t="s">
        <v>1596</v>
      </c>
      <c r="AC1641" s="113" t="s">
        <v>1825</v>
      </c>
      <c r="AD1641" s="153" t="str">
        <f t="shared" si="282"/>
        <v>Common_chickweed</v>
      </c>
      <c r="AE1641" s="113" t="s">
        <v>205</v>
      </c>
      <c r="AG1641" s="113" t="s">
        <v>154</v>
      </c>
      <c r="AM1641" s="113" t="s">
        <v>1377</v>
      </c>
      <c r="AN1641" s="113" t="s">
        <v>1377</v>
      </c>
      <c r="AO1641" s="113" t="s">
        <v>230</v>
      </c>
      <c r="AQ1641" s="113">
        <v>2</v>
      </c>
      <c r="AR1641" s="113">
        <v>2</v>
      </c>
      <c r="AS1641" s="113" t="s">
        <v>177</v>
      </c>
      <c r="CU1641" s="113">
        <v>1E-3</v>
      </c>
      <c r="CV1641" s="113">
        <v>0</v>
      </c>
      <c r="CW1641" s="113" t="s">
        <v>1379</v>
      </c>
      <c r="CX1641" s="113">
        <v>92</v>
      </c>
      <c r="CY1641" s="113">
        <v>15</v>
      </c>
      <c r="CZ1641" s="113" t="s">
        <v>1378</v>
      </c>
      <c r="FC1641" s="113">
        <v>75</v>
      </c>
    </row>
    <row r="1642" spans="1:159" s="113" customFormat="1" x14ac:dyDescent="0.25">
      <c r="A1642" s="113">
        <v>75</v>
      </c>
      <c r="B1642" s="113" t="s">
        <v>1369</v>
      </c>
      <c r="C1642" s="113" t="s">
        <v>1370</v>
      </c>
      <c r="D1642" s="113">
        <v>1989</v>
      </c>
      <c r="E1642" s="113">
        <v>1986</v>
      </c>
      <c r="F1642" s="113" t="s">
        <v>524</v>
      </c>
      <c r="G1642" s="113" t="s">
        <v>1371</v>
      </c>
      <c r="H1642" s="113">
        <v>38.950000000000003</v>
      </c>
      <c r="I1642" s="113">
        <v>-91.94</v>
      </c>
      <c r="J1642" s="113">
        <v>251.9</v>
      </c>
      <c r="P1642" s="114" t="s">
        <v>180</v>
      </c>
      <c r="Q1642" s="114"/>
      <c r="R1642" s="114" t="s">
        <v>1375</v>
      </c>
      <c r="S1642" s="52" t="s">
        <v>1640</v>
      </c>
      <c r="T1642" s="52" t="s">
        <v>1640</v>
      </c>
      <c r="X1642" s="113" t="s">
        <v>168</v>
      </c>
      <c r="AB1642" s="113" t="s">
        <v>1596</v>
      </c>
      <c r="AC1642" s="113" t="s">
        <v>1825</v>
      </c>
      <c r="AD1642" s="153" t="str">
        <f t="shared" si="282"/>
        <v>Common_chickweed</v>
      </c>
      <c r="AE1642" s="113" t="s">
        <v>205</v>
      </c>
      <c r="AG1642" s="113" t="s">
        <v>154</v>
      </c>
      <c r="AM1642" s="113" t="s">
        <v>1377</v>
      </c>
      <c r="AN1642" s="113" t="s">
        <v>1377</v>
      </c>
      <c r="AO1642" s="113" t="s">
        <v>230</v>
      </c>
      <c r="AQ1642" s="113">
        <v>2</v>
      </c>
      <c r="AR1642" s="113">
        <v>2</v>
      </c>
      <c r="AS1642" s="113" t="s">
        <v>177</v>
      </c>
      <c r="CU1642" s="113">
        <v>562</v>
      </c>
      <c r="CV1642" s="113">
        <v>45</v>
      </c>
      <c r="CW1642" s="113" t="s">
        <v>1379</v>
      </c>
      <c r="CX1642" s="113">
        <v>151</v>
      </c>
      <c r="CY1642" s="113">
        <v>52</v>
      </c>
      <c r="CZ1642" s="113" t="s">
        <v>1378</v>
      </c>
      <c r="FC1642" s="113">
        <v>75</v>
      </c>
    </row>
    <row r="1643" spans="1:159" s="117" customFormat="1" x14ac:dyDescent="0.25">
      <c r="A1643" s="117">
        <v>75</v>
      </c>
      <c r="B1643" s="117" t="s">
        <v>1369</v>
      </c>
      <c r="C1643" s="117" t="s">
        <v>1370</v>
      </c>
      <c r="D1643" s="117">
        <v>1989</v>
      </c>
      <c r="E1643" s="117">
        <v>1986</v>
      </c>
      <c r="F1643" s="117" t="s">
        <v>524</v>
      </c>
      <c r="G1643" s="117" t="s">
        <v>1371</v>
      </c>
      <c r="H1643" s="117">
        <v>38.950000000000003</v>
      </c>
      <c r="I1643" s="117">
        <v>-91.94</v>
      </c>
      <c r="J1643" s="117">
        <v>251.9</v>
      </c>
      <c r="P1643" s="118" t="s">
        <v>180</v>
      </c>
      <c r="Q1643" s="118"/>
      <c r="R1643" s="118" t="s">
        <v>1376</v>
      </c>
      <c r="S1643" s="118" t="s">
        <v>1640</v>
      </c>
      <c r="T1643" s="118" t="s">
        <v>1640</v>
      </c>
      <c r="X1643" s="117" t="s">
        <v>168</v>
      </c>
      <c r="AB1643" s="117" t="s">
        <v>1596</v>
      </c>
      <c r="AC1643" s="117" t="s">
        <v>1826</v>
      </c>
      <c r="AD1643" s="153" t="str">
        <f t="shared" si="282"/>
        <v>Canada_bluegrass</v>
      </c>
      <c r="AE1643" s="117" t="s">
        <v>205</v>
      </c>
      <c r="AG1643" s="117" t="s">
        <v>154</v>
      </c>
      <c r="AM1643" s="117" t="s">
        <v>1377</v>
      </c>
      <c r="AN1643" s="117" t="s">
        <v>1377</v>
      </c>
      <c r="AO1643" s="117" t="s">
        <v>230</v>
      </c>
      <c r="AQ1643" s="117">
        <v>2</v>
      </c>
      <c r="AR1643" s="117">
        <v>2</v>
      </c>
      <c r="AS1643" s="117" t="s">
        <v>177</v>
      </c>
      <c r="CU1643" s="117">
        <v>562</v>
      </c>
      <c r="CV1643" s="117">
        <v>0</v>
      </c>
      <c r="CW1643" s="117" t="s">
        <v>1379</v>
      </c>
      <c r="CX1643" s="117">
        <v>10</v>
      </c>
      <c r="CY1643" s="117">
        <v>0</v>
      </c>
      <c r="CZ1643" s="117" t="s">
        <v>1378</v>
      </c>
      <c r="FC1643" s="117">
        <v>75</v>
      </c>
    </row>
    <row r="1644" spans="1:159" s="117" customFormat="1" x14ac:dyDescent="0.25">
      <c r="A1644" s="117">
        <v>75</v>
      </c>
      <c r="B1644" s="117" t="s">
        <v>1369</v>
      </c>
      <c r="C1644" s="117" t="s">
        <v>1370</v>
      </c>
      <c r="D1644" s="117">
        <v>1989</v>
      </c>
      <c r="E1644" s="117">
        <v>1986</v>
      </c>
      <c r="F1644" s="117" t="s">
        <v>524</v>
      </c>
      <c r="G1644" s="117" t="s">
        <v>1371</v>
      </c>
      <c r="H1644" s="117">
        <v>38.950000000000003</v>
      </c>
      <c r="I1644" s="117">
        <v>-91.94</v>
      </c>
      <c r="J1644" s="117">
        <v>251.9</v>
      </c>
      <c r="P1644" s="118" t="s">
        <v>180</v>
      </c>
      <c r="Q1644" s="118"/>
      <c r="R1644" s="118" t="s">
        <v>1372</v>
      </c>
      <c r="S1644" s="118" t="s">
        <v>1640</v>
      </c>
      <c r="T1644" s="118" t="s">
        <v>1640</v>
      </c>
      <c r="X1644" s="117" t="s">
        <v>168</v>
      </c>
      <c r="AB1644" s="117" t="s">
        <v>1596</v>
      </c>
      <c r="AC1644" s="117" t="s">
        <v>1826</v>
      </c>
      <c r="AD1644" s="153" t="str">
        <f t="shared" si="282"/>
        <v>Canada_bluegrass</v>
      </c>
      <c r="AE1644" s="117" t="s">
        <v>205</v>
      </c>
      <c r="AG1644" s="117" t="s">
        <v>154</v>
      </c>
      <c r="AM1644" s="117" t="s">
        <v>1377</v>
      </c>
      <c r="AN1644" s="117" t="s">
        <v>1377</v>
      </c>
      <c r="AO1644" s="117" t="s">
        <v>230</v>
      </c>
      <c r="AQ1644" s="117">
        <v>2</v>
      </c>
      <c r="AR1644" s="117">
        <v>2</v>
      </c>
      <c r="AS1644" s="117" t="s">
        <v>177</v>
      </c>
      <c r="CU1644" s="117">
        <v>1E-3</v>
      </c>
      <c r="CV1644" s="117">
        <v>0</v>
      </c>
      <c r="CW1644" s="117" t="s">
        <v>1379</v>
      </c>
      <c r="CX1644" s="117">
        <v>1</v>
      </c>
      <c r="CY1644" s="117">
        <v>0</v>
      </c>
      <c r="CZ1644" s="117" t="s">
        <v>1378</v>
      </c>
      <c r="FC1644" s="117">
        <v>75</v>
      </c>
    </row>
    <row r="1645" spans="1:159" s="117" customFormat="1" x14ac:dyDescent="0.25">
      <c r="A1645" s="117">
        <v>75</v>
      </c>
      <c r="B1645" s="117" t="s">
        <v>1369</v>
      </c>
      <c r="C1645" s="117" t="s">
        <v>1370</v>
      </c>
      <c r="D1645" s="117">
        <v>1989</v>
      </c>
      <c r="E1645" s="117">
        <v>1986</v>
      </c>
      <c r="F1645" s="117" t="s">
        <v>524</v>
      </c>
      <c r="G1645" s="117" t="s">
        <v>1371</v>
      </c>
      <c r="H1645" s="117">
        <v>38.950000000000003</v>
      </c>
      <c r="I1645" s="117">
        <v>-91.94</v>
      </c>
      <c r="J1645" s="117">
        <v>251.9</v>
      </c>
      <c r="P1645" s="118" t="s">
        <v>180</v>
      </c>
      <c r="Q1645" s="118"/>
      <c r="R1645" s="118" t="s">
        <v>1373</v>
      </c>
      <c r="S1645" s="118" t="s">
        <v>1640</v>
      </c>
      <c r="T1645" s="118" t="s">
        <v>1640</v>
      </c>
      <c r="X1645" s="117" t="s">
        <v>168</v>
      </c>
      <c r="AB1645" s="117" t="s">
        <v>1596</v>
      </c>
      <c r="AC1645" s="117" t="s">
        <v>1826</v>
      </c>
      <c r="AD1645" s="153" t="str">
        <f t="shared" si="282"/>
        <v>Canada_bluegrass</v>
      </c>
      <c r="AE1645" s="117" t="s">
        <v>205</v>
      </c>
      <c r="AG1645" s="117" t="s">
        <v>154</v>
      </c>
      <c r="AM1645" s="117" t="s">
        <v>1377</v>
      </c>
      <c r="AN1645" s="117" t="s">
        <v>1377</v>
      </c>
      <c r="AO1645" s="117" t="s">
        <v>230</v>
      </c>
      <c r="AQ1645" s="117">
        <v>2</v>
      </c>
      <c r="AR1645" s="117">
        <v>2</v>
      </c>
      <c r="AS1645" s="117" t="s">
        <v>177</v>
      </c>
      <c r="CU1645" s="117">
        <v>1E-3</v>
      </c>
      <c r="CV1645" s="117">
        <v>0</v>
      </c>
      <c r="CW1645" s="117" t="s">
        <v>1379</v>
      </c>
      <c r="CX1645" s="117">
        <v>7</v>
      </c>
      <c r="CY1645" s="117">
        <v>0</v>
      </c>
      <c r="CZ1645" s="117" t="s">
        <v>1378</v>
      </c>
      <c r="FC1645" s="117">
        <v>75</v>
      </c>
    </row>
    <row r="1646" spans="1:159" s="117" customFormat="1" x14ac:dyDescent="0.25">
      <c r="A1646" s="117">
        <v>75</v>
      </c>
      <c r="B1646" s="117" t="s">
        <v>1369</v>
      </c>
      <c r="C1646" s="117" t="s">
        <v>1370</v>
      </c>
      <c r="D1646" s="117">
        <v>1989</v>
      </c>
      <c r="E1646" s="117">
        <v>1986</v>
      </c>
      <c r="F1646" s="117" t="s">
        <v>524</v>
      </c>
      <c r="G1646" s="117" t="s">
        <v>1371</v>
      </c>
      <c r="H1646" s="117">
        <v>38.950000000000003</v>
      </c>
      <c r="I1646" s="117">
        <v>-91.94</v>
      </c>
      <c r="J1646" s="117">
        <v>251.9</v>
      </c>
      <c r="P1646" s="118" t="s">
        <v>180</v>
      </c>
      <c r="Q1646" s="118"/>
      <c r="R1646" s="118" t="s">
        <v>1374</v>
      </c>
      <c r="S1646" s="118" t="s">
        <v>1640</v>
      </c>
      <c r="T1646" s="118" t="s">
        <v>1640</v>
      </c>
      <c r="X1646" s="117" t="s">
        <v>168</v>
      </c>
      <c r="AB1646" s="117" t="s">
        <v>1596</v>
      </c>
      <c r="AC1646" s="117" t="s">
        <v>1826</v>
      </c>
      <c r="AD1646" s="153" t="str">
        <f t="shared" si="282"/>
        <v>Canada_bluegrass</v>
      </c>
      <c r="AE1646" s="117" t="s">
        <v>205</v>
      </c>
      <c r="AG1646" s="117" t="s">
        <v>154</v>
      </c>
      <c r="AM1646" s="117" t="s">
        <v>1377</v>
      </c>
      <c r="AN1646" s="117" t="s">
        <v>1377</v>
      </c>
      <c r="AO1646" s="117" t="s">
        <v>230</v>
      </c>
      <c r="AQ1646" s="117">
        <v>2</v>
      </c>
      <c r="AR1646" s="117">
        <v>2</v>
      </c>
      <c r="AS1646" s="117" t="s">
        <v>177</v>
      </c>
      <c r="CU1646" s="117">
        <v>1E-3</v>
      </c>
      <c r="CV1646" s="117">
        <v>0</v>
      </c>
      <c r="CW1646" s="117" t="s">
        <v>1379</v>
      </c>
      <c r="CX1646" s="117">
        <v>92</v>
      </c>
      <c r="CY1646" s="117">
        <v>26</v>
      </c>
      <c r="CZ1646" s="117" t="s">
        <v>1378</v>
      </c>
      <c r="FC1646" s="117">
        <v>75</v>
      </c>
    </row>
    <row r="1647" spans="1:159" s="117" customFormat="1" x14ac:dyDescent="0.25">
      <c r="A1647" s="117">
        <v>75</v>
      </c>
      <c r="B1647" s="117" t="s">
        <v>1369</v>
      </c>
      <c r="C1647" s="117" t="s">
        <v>1370</v>
      </c>
      <c r="D1647" s="117">
        <v>1989</v>
      </c>
      <c r="E1647" s="117">
        <v>1986</v>
      </c>
      <c r="F1647" s="117" t="s">
        <v>524</v>
      </c>
      <c r="G1647" s="117" t="s">
        <v>1371</v>
      </c>
      <c r="H1647" s="117">
        <v>38.950000000000003</v>
      </c>
      <c r="I1647" s="117">
        <v>-91.94</v>
      </c>
      <c r="J1647" s="117">
        <v>251.9</v>
      </c>
      <c r="P1647" s="118" t="s">
        <v>180</v>
      </c>
      <c r="Q1647" s="118"/>
      <c r="R1647" s="118" t="s">
        <v>1375</v>
      </c>
      <c r="S1647" s="118" t="s">
        <v>1640</v>
      </c>
      <c r="T1647" s="118" t="s">
        <v>1640</v>
      </c>
      <c r="X1647" s="117" t="s">
        <v>168</v>
      </c>
      <c r="AB1647" s="117" t="s">
        <v>1596</v>
      </c>
      <c r="AC1647" s="117" t="s">
        <v>1826</v>
      </c>
      <c r="AD1647" s="153" t="str">
        <f t="shared" si="282"/>
        <v>Canada_bluegrass</v>
      </c>
      <c r="AE1647" s="117" t="s">
        <v>205</v>
      </c>
      <c r="AG1647" s="117" t="s">
        <v>154</v>
      </c>
      <c r="AM1647" s="117" t="s">
        <v>1377</v>
      </c>
      <c r="AN1647" s="117" t="s">
        <v>1377</v>
      </c>
      <c r="AO1647" s="117" t="s">
        <v>230</v>
      </c>
      <c r="AQ1647" s="117">
        <v>2</v>
      </c>
      <c r="AR1647" s="117">
        <v>2</v>
      </c>
      <c r="AS1647" s="117" t="s">
        <v>177</v>
      </c>
      <c r="CU1647" s="117">
        <v>562</v>
      </c>
      <c r="CV1647" s="117">
        <v>0</v>
      </c>
      <c r="CW1647" s="117" t="s">
        <v>1379</v>
      </c>
      <c r="CX1647" s="117">
        <v>151</v>
      </c>
      <c r="CY1647" s="117">
        <v>67</v>
      </c>
      <c r="CZ1647" s="117" t="s">
        <v>1378</v>
      </c>
      <c r="FC1647" s="117">
        <v>75</v>
      </c>
    </row>
    <row r="1648" spans="1:159" s="113" customFormat="1" x14ac:dyDescent="0.25">
      <c r="A1648" s="113">
        <v>75</v>
      </c>
      <c r="B1648" s="113" t="s">
        <v>1369</v>
      </c>
      <c r="C1648" s="113" t="s">
        <v>1370</v>
      </c>
      <c r="D1648" s="113">
        <v>1989</v>
      </c>
      <c r="E1648" s="113">
        <v>1986</v>
      </c>
      <c r="F1648" s="113" t="s">
        <v>524</v>
      </c>
      <c r="G1648" s="113" t="s">
        <v>1371</v>
      </c>
      <c r="H1648" s="113">
        <v>38.950000000000003</v>
      </c>
      <c r="I1648" s="113">
        <v>-91.94</v>
      </c>
      <c r="J1648" s="113">
        <v>251.9</v>
      </c>
      <c r="P1648" s="114" t="s">
        <v>180</v>
      </c>
      <c r="Q1648" s="114"/>
      <c r="R1648" s="114" t="s">
        <v>1376</v>
      </c>
      <c r="S1648" s="114" t="s">
        <v>1640</v>
      </c>
      <c r="T1648" s="114" t="s">
        <v>1640</v>
      </c>
      <c r="X1648" s="113" t="s">
        <v>168</v>
      </c>
      <c r="AB1648" s="113" t="s">
        <v>1596</v>
      </c>
      <c r="AC1648" s="113" t="s">
        <v>1827</v>
      </c>
      <c r="AD1648" s="153" t="str">
        <f t="shared" si="282"/>
        <v>Rye</v>
      </c>
      <c r="AE1648" s="113" t="s">
        <v>205</v>
      </c>
      <c r="AG1648" s="113" t="s">
        <v>154</v>
      </c>
      <c r="AM1648" s="113" t="s">
        <v>1377</v>
      </c>
      <c r="AN1648" s="113" t="s">
        <v>1377</v>
      </c>
      <c r="AO1648" s="113" t="s">
        <v>230</v>
      </c>
      <c r="AQ1648" s="113">
        <v>2</v>
      </c>
      <c r="AR1648" s="113">
        <v>2</v>
      </c>
      <c r="AS1648" s="113" t="s">
        <v>177</v>
      </c>
      <c r="CU1648" s="113">
        <v>562</v>
      </c>
      <c r="CV1648" s="113">
        <v>0</v>
      </c>
      <c r="CW1648" s="113" t="s">
        <v>1379</v>
      </c>
      <c r="CX1648" s="113">
        <v>10</v>
      </c>
      <c r="CY1648" s="113">
        <v>0</v>
      </c>
      <c r="CZ1648" s="113" t="s">
        <v>1378</v>
      </c>
      <c r="FC1648" s="113">
        <v>75</v>
      </c>
    </row>
    <row r="1649" spans="1:159" s="113" customFormat="1" x14ac:dyDescent="0.25">
      <c r="A1649" s="113">
        <v>75</v>
      </c>
      <c r="B1649" s="113" t="s">
        <v>1369</v>
      </c>
      <c r="C1649" s="113" t="s">
        <v>1370</v>
      </c>
      <c r="D1649" s="113">
        <v>1989</v>
      </c>
      <c r="E1649" s="113">
        <v>1986</v>
      </c>
      <c r="F1649" s="113" t="s">
        <v>524</v>
      </c>
      <c r="G1649" s="113" t="s">
        <v>1371</v>
      </c>
      <c r="H1649" s="113">
        <v>38.950000000000003</v>
      </c>
      <c r="I1649" s="113">
        <v>-91.94</v>
      </c>
      <c r="J1649" s="113">
        <v>251.9</v>
      </c>
      <c r="P1649" s="114" t="s">
        <v>180</v>
      </c>
      <c r="Q1649" s="114"/>
      <c r="R1649" s="114" t="s">
        <v>1372</v>
      </c>
      <c r="S1649" s="114" t="s">
        <v>1640</v>
      </c>
      <c r="T1649" s="114" t="s">
        <v>1640</v>
      </c>
      <c r="X1649" s="113" t="s">
        <v>168</v>
      </c>
      <c r="AB1649" s="113" t="s">
        <v>1596</v>
      </c>
      <c r="AC1649" s="113" t="s">
        <v>1827</v>
      </c>
      <c r="AD1649" s="153" t="str">
        <f t="shared" si="282"/>
        <v>Rye</v>
      </c>
      <c r="AE1649" s="113" t="s">
        <v>205</v>
      </c>
      <c r="AG1649" s="113" t="s">
        <v>154</v>
      </c>
      <c r="AM1649" s="113" t="s">
        <v>1377</v>
      </c>
      <c r="AN1649" s="113" t="s">
        <v>1377</v>
      </c>
      <c r="AO1649" s="113" t="s">
        <v>230</v>
      </c>
      <c r="AQ1649" s="113">
        <v>2</v>
      </c>
      <c r="AR1649" s="113">
        <v>2</v>
      </c>
      <c r="AS1649" s="113" t="s">
        <v>177</v>
      </c>
      <c r="CU1649" s="113">
        <v>1E-3</v>
      </c>
      <c r="CV1649" s="113">
        <v>0</v>
      </c>
      <c r="CW1649" s="113" t="s">
        <v>1379</v>
      </c>
      <c r="CX1649" s="113">
        <v>1</v>
      </c>
      <c r="CY1649" s="113">
        <v>0</v>
      </c>
      <c r="CZ1649" s="113" t="s">
        <v>1378</v>
      </c>
      <c r="FC1649" s="113">
        <v>75</v>
      </c>
    </row>
    <row r="1650" spans="1:159" s="113" customFormat="1" x14ac:dyDescent="0.25">
      <c r="A1650" s="113">
        <v>75</v>
      </c>
      <c r="B1650" s="113" t="s">
        <v>1369</v>
      </c>
      <c r="C1650" s="113" t="s">
        <v>1370</v>
      </c>
      <c r="D1650" s="113">
        <v>1989</v>
      </c>
      <c r="E1650" s="113">
        <v>1986</v>
      </c>
      <c r="F1650" s="113" t="s">
        <v>524</v>
      </c>
      <c r="G1650" s="113" t="s">
        <v>1371</v>
      </c>
      <c r="H1650" s="113">
        <v>38.950000000000003</v>
      </c>
      <c r="I1650" s="113">
        <v>-91.94</v>
      </c>
      <c r="J1650" s="113">
        <v>251.9</v>
      </c>
      <c r="P1650" s="114" t="s">
        <v>180</v>
      </c>
      <c r="Q1650" s="114"/>
      <c r="R1650" s="114" t="s">
        <v>1373</v>
      </c>
      <c r="S1650" s="114" t="s">
        <v>1640</v>
      </c>
      <c r="T1650" s="114" t="s">
        <v>1640</v>
      </c>
      <c r="X1650" s="113" t="s">
        <v>168</v>
      </c>
      <c r="AB1650" s="113" t="s">
        <v>1596</v>
      </c>
      <c r="AC1650" s="113" t="s">
        <v>1827</v>
      </c>
      <c r="AD1650" s="153" t="str">
        <f t="shared" si="282"/>
        <v>Rye</v>
      </c>
      <c r="AE1650" s="113" t="s">
        <v>205</v>
      </c>
      <c r="AG1650" s="113" t="s">
        <v>154</v>
      </c>
      <c r="AM1650" s="113" t="s">
        <v>1377</v>
      </c>
      <c r="AN1650" s="113" t="s">
        <v>1377</v>
      </c>
      <c r="AO1650" s="113" t="s">
        <v>230</v>
      </c>
      <c r="AQ1650" s="113">
        <v>2</v>
      </c>
      <c r="AR1650" s="113">
        <v>2</v>
      </c>
      <c r="AS1650" s="113" t="s">
        <v>177</v>
      </c>
      <c r="CU1650" s="113">
        <v>1E-3</v>
      </c>
      <c r="CV1650" s="113">
        <v>0</v>
      </c>
      <c r="CW1650" s="113" t="s">
        <v>1379</v>
      </c>
      <c r="CX1650" s="113">
        <v>7</v>
      </c>
      <c r="CY1650" s="113">
        <v>0</v>
      </c>
      <c r="CZ1650" s="113" t="s">
        <v>1378</v>
      </c>
      <c r="FC1650" s="113">
        <v>75</v>
      </c>
    </row>
    <row r="1651" spans="1:159" s="113" customFormat="1" x14ac:dyDescent="0.25">
      <c r="A1651" s="113">
        <v>75</v>
      </c>
      <c r="B1651" s="113" t="s">
        <v>1369</v>
      </c>
      <c r="C1651" s="113" t="s">
        <v>1370</v>
      </c>
      <c r="D1651" s="113">
        <v>1989</v>
      </c>
      <c r="E1651" s="113">
        <v>1986</v>
      </c>
      <c r="F1651" s="113" t="s">
        <v>524</v>
      </c>
      <c r="G1651" s="113" t="s">
        <v>1371</v>
      </c>
      <c r="H1651" s="113">
        <v>38.950000000000003</v>
      </c>
      <c r="I1651" s="113">
        <v>-91.94</v>
      </c>
      <c r="J1651" s="113">
        <v>251.9</v>
      </c>
      <c r="P1651" s="114" t="s">
        <v>180</v>
      </c>
      <c r="Q1651" s="114"/>
      <c r="R1651" s="114" t="s">
        <v>1374</v>
      </c>
      <c r="S1651" s="114" t="s">
        <v>1640</v>
      </c>
      <c r="T1651" s="114" t="s">
        <v>1640</v>
      </c>
      <c r="X1651" s="113" t="s">
        <v>168</v>
      </c>
      <c r="AB1651" s="113" t="s">
        <v>1596</v>
      </c>
      <c r="AC1651" s="113" t="s">
        <v>1827</v>
      </c>
      <c r="AD1651" s="153" t="str">
        <f t="shared" si="282"/>
        <v>Rye</v>
      </c>
      <c r="AE1651" s="113" t="s">
        <v>205</v>
      </c>
      <c r="AG1651" s="113" t="s">
        <v>154</v>
      </c>
      <c r="AM1651" s="113" t="s">
        <v>1377</v>
      </c>
      <c r="AN1651" s="113" t="s">
        <v>1377</v>
      </c>
      <c r="AO1651" s="113" t="s">
        <v>230</v>
      </c>
      <c r="AQ1651" s="113">
        <v>2</v>
      </c>
      <c r="AR1651" s="113">
        <v>2</v>
      </c>
      <c r="AS1651" s="113" t="s">
        <v>177</v>
      </c>
      <c r="CU1651" s="113">
        <v>1E-3</v>
      </c>
      <c r="CV1651" s="113">
        <v>0</v>
      </c>
      <c r="CW1651" s="113" t="s">
        <v>1379</v>
      </c>
      <c r="CX1651" s="113">
        <v>92</v>
      </c>
      <c r="CY1651" s="113">
        <v>15</v>
      </c>
      <c r="CZ1651" s="113" t="s">
        <v>1378</v>
      </c>
      <c r="FC1651" s="113">
        <v>75</v>
      </c>
    </row>
    <row r="1652" spans="1:159" s="113" customFormat="1" x14ac:dyDescent="0.25">
      <c r="A1652" s="113">
        <v>75</v>
      </c>
      <c r="B1652" s="113" t="s">
        <v>1369</v>
      </c>
      <c r="C1652" s="113" t="s">
        <v>1370</v>
      </c>
      <c r="D1652" s="113">
        <v>1989</v>
      </c>
      <c r="E1652" s="113">
        <v>1986</v>
      </c>
      <c r="F1652" s="113" t="s">
        <v>524</v>
      </c>
      <c r="G1652" s="113" t="s">
        <v>1371</v>
      </c>
      <c r="H1652" s="113">
        <v>38.950000000000003</v>
      </c>
      <c r="I1652" s="113">
        <v>-91.94</v>
      </c>
      <c r="J1652" s="113">
        <v>251.9</v>
      </c>
      <c r="P1652" s="114" t="s">
        <v>180</v>
      </c>
      <c r="Q1652" s="114"/>
      <c r="R1652" s="114" t="s">
        <v>1375</v>
      </c>
      <c r="S1652" s="114" t="s">
        <v>1640</v>
      </c>
      <c r="T1652" s="114" t="s">
        <v>1640</v>
      </c>
      <c r="X1652" s="113" t="s">
        <v>168</v>
      </c>
      <c r="AB1652" s="113" t="s">
        <v>1596</v>
      </c>
      <c r="AC1652" s="113" t="s">
        <v>1827</v>
      </c>
      <c r="AD1652" s="153" t="str">
        <f t="shared" si="282"/>
        <v>Rye</v>
      </c>
      <c r="AE1652" s="113" t="s">
        <v>205</v>
      </c>
      <c r="AG1652" s="113" t="s">
        <v>154</v>
      </c>
      <c r="AM1652" s="113" t="s">
        <v>1377</v>
      </c>
      <c r="AN1652" s="113" t="s">
        <v>1377</v>
      </c>
      <c r="AO1652" s="113" t="s">
        <v>230</v>
      </c>
      <c r="AQ1652" s="113">
        <v>2</v>
      </c>
      <c r="AR1652" s="113">
        <v>2</v>
      </c>
      <c r="AS1652" s="113" t="s">
        <v>177</v>
      </c>
      <c r="CU1652" s="113">
        <v>562</v>
      </c>
      <c r="CV1652" s="113">
        <v>0</v>
      </c>
      <c r="CW1652" s="113" t="s">
        <v>1379</v>
      </c>
      <c r="CX1652" s="113">
        <v>151</v>
      </c>
      <c r="CY1652" s="113">
        <v>31</v>
      </c>
      <c r="CZ1652" s="113" t="s">
        <v>1378</v>
      </c>
      <c r="FC1652" s="113">
        <v>75</v>
      </c>
    </row>
    <row r="1653" spans="1:159" s="26" customFormat="1" x14ac:dyDescent="0.25">
      <c r="A1653" s="26">
        <v>75</v>
      </c>
      <c r="B1653" s="26" t="s">
        <v>1369</v>
      </c>
      <c r="C1653" s="26" t="s">
        <v>1370</v>
      </c>
      <c r="D1653" s="26">
        <v>1989</v>
      </c>
      <c r="E1653" s="26">
        <v>1987</v>
      </c>
      <c r="F1653" s="26" t="s">
        <v>524</v>
      </c>
      <c r="G1653" s="26" t="s">
        <v>1371</v>
      </c>
      <c r="H1653" s="26">
        <v>38.950000000000003</v>
      </c>
      <c r="I1653" s="26">
        <v>-91.94</v>
      </c>
      <c r="J1653" s="26">
        <v>251.9</v>
      </c>
      <c r="P1653" s="52" t="s">
        <v>181</v>
      </c>
      <c r="Q1653" s="52"/>
      <c r="R1653" s="52" t="s">
        <v>1376</v>
      </c>
      <c r="S1653" s="52" t="s">
        <v>1640</v>
      </c>
      <c r="T1653" s="52" t="s">
        <v>1640</v>
      </c>
      <c r="X1653" s="26" t="s">
        <v>168</v>
      </c>
      <c r="AB1653" s="26" t="s">
        <v>1596</v>
      </c>
      <c r="AC1653" s="26" t="s">
        <v>1825</v>
      </c>
      <c r="AD1653" s="153" t="str">
        <f t="shared" si="282"/>
        <v>Common_chickweed</v>
      </c>
      <c r="AE1653" s="26" t="s">
        <v>205</v>
      </c>
      <c r="AG1653" s="26" t="s">
        <v>154</v>
      </c>
      <c r="AM1653" s="26" t="s">
        <v>1377</v>
      </c>
      <c r="AN1653" s="26" t="s">
        <v>1377</v>
      </c>
      <c r="AO1653" s="26" t="s">
        <v>230</v>
      </c>
      <c r="AQ1653" s="26">
        <v>2</v>
      </c>
      <c r="AR1653" s="26">
        <v>2</v>
      </c>
      <c r="AS1653" s="26" t="s">
        <v>177</v>
      </c>
      <c r="CU1653" s="26">
        <v>217</v>
      </c>
      <c r="CV1653" s="26">
        <v>0</v>
      </c>
      <c r="CW1653" s="26" t="s">
        <v>1379</v>
      </c>
      <c r="CX1653" s="26">
        <v>2</v>
      </c>
      <c r="CY1653" s="26">
        <v>0</v>
      </c>
      <c r="CZ1653" s="26" t="s">
        <v>1378</v>
      </c>
      <c r="FC1653" s="26">
        <v>75</v>
      </c>
    </row>
    <row r="1654" spans="1:159" s="26" customFormat="1" x14ac:dyDescent="0.25">
      <c r="A1654" s="26">
        <v>75</v>
      </c>
      <c r="B1654" s="26" t="s">
        <v>1369</v>
      </c>
      <c r="C1654" s="26" t="s">
        <v>1370</v>
      </c>
      <c r="D1654" s="26">
        <v>1989</v>
      </c>
      <c r="E1654" s="26">
        <v>1987</v>
      </c>
      <c r="F1654" s="26" t="s">
        <v>524</v>
      </c>
      <c r="G1654" s="26" t="s">
        <v>1371</v>
      </c>
      <c r="H1654" s="26">
        <v>38.950000000000003</v>
      </c>
      <c r="I1654" s="26">
        <v>-91.94</v>
      </c>
      <c r="J1654" s="26">
        <v>251.9</v>
      </c>
      <c r="P1654" s="52" t="s">
        <v>181</v>
      </c>
      <c r="Q1654" s="52"/>
      <c r="R1654" s="52" t="s">
        <v>1372</v>
      </c>
      <c r="S1654" s="52" t="s">
        <v>1640</v>
      </c>
      <c r="T1654" s="52" t="s">
        <v>1640</v>
      </c>
      <c r="X1654" s="26" t="s">
        <v>168</v>
      </c>
      <c r="AB1654" s="26" t="s">
        <v>1596</v>
      </c>
      <c r="AC1654" s="26" t="s">
        <v>1825</v>
      </c>
      <c r="AD1654" s="153" t="str">
        <f t="shared" si="282"/>
        <v>Common_chickweed</v>
      </c>
      <c r="AE1654" s="26" t="s">
        <v>205</v>
      </c>
      <c r="AG1654" s="26" t="s">
        <v>154</v>
      </c>
      <c r="AM1654" s="26" t="s">
        <v>1377</v>
      </c>
      <c r="AN1654" s="26" t="s">
        <v>1377</v>
      </c>
      <c r="AO1654" s="26" t="s">
        <v>230</v>
      </c>
      <c r="AQ1654" s="26">
        <v>2</v>
      </c>
      <c r="AR1654" s="26">
        <v>2</v>
      </c>
      <c r="AS1654" s="26" t="s">
        <v>177</v>
      </c>
      <c r="CU1654" s="26">
        <v>1317</v>
      </c>
      <c r="CV1654" s="26">
        <v>125</v>
      </c>
      <c r="CW1654" s="26" t="s">
        <v>1379</v>
      </c>
      <c r="CX1654" s="26">
        <v>33</v>
      </c>
      <c r="CY1654" s="26">
        <v>8</v>
      </c>
      <c r="CZ1654" s="26" t="s">
        <v>1378</v>
      </c>
      <c r="FC1654" s="26">
        <v>75</v>
      </c>
    </row>
    <row r="1655" spans="1:159" s="26" customFormat="1" x14ac:dyDescent="0.25">
      <c r="A1655" s="26">
        <v>75</v>
      </c>
      <c r="B1655" s="26" t="s">
        <v>1369</v>
      </c>
      <c r="C1655" s="26" t="s">
        <v>1370</v>
      </c>
      <c r="D1655" s="26">
        <v>1989</v>
      </c>
      <c r="E1655" s="26">
        <v>1987</v>
      </c>
      <c r="F1655" s="26" t="s">
        <v>524</v>
      </c>
      <c r="G1655" s="26" t="s">
        <v>1371</v>
      </c>
      <c r="H1655" s="26">
        <v>38.950000000000003</v>
      </c>
      <c r="I1655" s="26">
        <v>-91.94</v>
      </c>
      <c r="J1655" s="26">
        <v>251.9</v>
      </c>
      <c r="P1655" s="52" t="s">
        <v>181</v>
      </c>
      <c r="Q1655" s="52"/>
      <c r="R1655" s="52" t="s">
        <v>1373</v>
      </c>
      <c r="S1655" s="52" t="s">
        <v>1640</v>
      </c>
      <c r="T1655" s="52" t="s">
        <v>1640</v>
      </c>
      <c r="X1655" s="26" t="s">
        <v>168</v>
      </c>
      <c r="AB1655" s="26" t="s">
        <v>1596</v>
      </c>
      <c r="AC1655" s="26" t="s">
        <v>1825</v>
      </c>
      <c r="AD1655" s="153" t="str">
        <f t="shared" si="282"/>
        <v>Common_chickweed</v>
      </c>
      <c r="AE1655" s="26" t="s">
        <v>205</v>
      </c>
      <c r="AG1655" s="26" t="s">
        <v>154</v>
      </c>
      <c r="AM1655" s="26" t="s">
        <v>1377</v>
      </c>
      <c r="AN1655" s="26" t="s">
        <v>1377</v>
      </c>
      <c r="AO1655" s="26" t="s">
        <v>230</v>
      </c>
      <c r="AQ1655" s="26">
        <v>2</v>
      </c>
      <c r="AR1655" s="26">
        <v>2</v>
      </c>
      <c r="AS1655" s="26" t="s">
        <v>177</v>
      </c>
      <c r="CU1655" s="26">
        <v>0</v>
      </c>
      <c r="CV1655" s="26">
        <v>0</v>
      </c>
      <c r="CW1655" s="26" t="s">
        <v>1379</v>
      </c>
      <c r="CX1655" s="26">
        <v>1E-3</v>
      </c>
      <c r="CY1655" s="26">
        <v>0</v>
      </c>
      <c r="CZ1655" s="26" t="s">
        <v>1378</v>
      </c>
      <c r="FC1655" s="26">
        <v>75</v>
      </c>
    </row>
    <row r="1656" spans="1:159" s="26" customFormat="1" x14ac:dyDescent="0.25">
      <c r="A1656" s="26">
        <v>75</v>
      </c>
      <c r="B1656" s="26" t="s">
        <v>1369</v>
      </c>
      <c r="C1656" s="26" t="s">
        <v>1370</v>
      </c>
      <c r="D1656" s="26">
        <v>1989</v>
      </c>
      <c r="E1656" s="26">
        <v>1987</v>
      </c>
      <c r="F1656" s="26" t="s">
        <v>524</v>
      </c>
      <c r="G1656" s="26" t="s">
        <v>1371</v>
      </c>
      <c r="H1656" s="26">
        <v>38.950000000000003</v>
      </c>
      <c r="I1656" s="26">
        <v>-91.94</v>
      </c>
      <c r="J1656" s="26">
        <v>251.9</v>
      </c>
      <c r="P1656" s="52" t="s">
        <v>181</v>
      </c>
      <c r="Q1656" s="52"/>
      <c r="R1656" s="52" t="s">
        <v>1374</v>
      </c>
      <c r="S1656" s="52" t="s">
        <v>1640</v>
      </c>
      <c r="T1656" s="52" t="s">
        <v>1640</v>
      </c>
      <c r="X1656" s="26" t="s">
        <v>168</v>
      </c>
      <c r="AB1656" s="26" t="s">
        <v>1596</v>
      </c>
      <c r="AC1656" s="26" t="s">
        <v>1825</v>
      </c>
      <c r="AD1656" s="153" t="str">
        <f t="shared" si="282"/>
        <v>Common_chickweed</v>
      </c>
      <c r="AE1656" s="26" t="s">
        <v>205</v>
      </c>
      <c r="AG1656" s="26" t="s">
        <v>154</v>
      </c>
      <c r="AM1656" s="26" t="s">
        <v>1377</v>
      </c>
      <c r="AN1656" s="26" t="s">
        <v>1377</v>
      </c>
      <c r="AO1656" s="26" t="s">
        <v>230</v>
      </c>
      <c r="AQ1656" s="26">
        <v>2</v>
      </c>
      <c r="AR1656" s="26">
        <v>2</v>
      </c>
      <c r="AS1656" s="26" t="s">
        <v>177</v>
      </c>
      <c r="CU1656" s="26">
        <v>111</v>
      </c>
      <c r="CV1656" s="26">
        <v>52</v>
      </c>
      <c r="CW1656" s="26" t="s">
        <v>1379</v>
      </c>
      <c r="CX1656" s="26">
        <v>57</v>
      </c>
      <c r="CY1656" s="26">
        <v>36</v>
      </c>
      <c r="CZ1656" s="26" t="s">
        <v>1378</v>
      </c>
      <c r="FC1656" s="26">
        <v>75</v>
      </c>
    </row>
    <row r="1657" spans="1:159" s="26" customFormat="1" x14ac:dyDescent="0.25">
      <c r="A1657" s="26">
        <v>75</v>
      </c>
      <c r="B1657" s="26" t="s">
        <v>1369</v>
      </c>
      <c r="C1657" s="26" t="s">
        <v>1370</v>
      </c>
      <c r="D1657" s="26">
        <v>1989</v>
      </c>
      <c r="E1657" s="26">
        <v>1987</v>
      </c>
      <c r="F1657" s="26" t="s">
        <v>524</v>
      </c>
      <c r="G1657" s="26" t="s">
        <v>1371</v>
      </c>
      <c r="H1657" s="26">
        <v>38.950000000000003</v>
      </c>
      <c r="I1657" s="26">
        <v>-91.94</v>
      </c>
      <c r="J1657" s="26">
        <v>251.9</v>
      </c>
      <c r="P1657" s="52" t="s">
        <v>181</v>
      </c>
      <c r="Q1657" s="52"/>
      <c r="R1657" s="52" t="s">
        <v>1375</v>
      </c>
      <c r="S1657" s="52" t="s">
        <v>1640</v>
      </c>
      <c r="T1657" s="52" t="s">
        <v>1640</v>
      </c>
      <c r="X1657" s="26" t="s">
        <v>168</v>
      </c>
      <c r="AB1657" s="26" t="s">
        <v>1596</v>
      </c>
      <c r="AC1657" s="26" t="s">
        <v>1825</v>
      </c>
      <c r="AD1657" s="153" t="str">
        <f t="shared" si="282"/>
        <v>Common_chickweed</v>
      </c>
      <c r="AE1657" s="26" t="s">
        <v>205</v>
      </c>
      <c r="AG1657" s="26" t="s">
        <v>154</v>
      </c>
      <c r="AM1657" s="26" t="s">
        <v>1377</v>
      </c>
      <c r="AN1657" s="26" t="s">
        <v>1377</v>
      </c>
      <c r="AO1657" s="26" t="s">
        <v>230</v>
      </c>
      <c r="AQ1657" s="26">
        <v>2</v>
      </c>
      <c r="AR1657" s="26">
        <v>2</v>
      </c>
      <c r="AS1657" s="26" t="s">
        <v>177</v>
      </c>
      <c r="CU1657" s="26">
        <v>1534</v>
      </c>
      <c r="CV1657" s="26">
        <v>125</v>
      </c>
      <c r="CW1657" s="26" t="s">
        <v>1379</v>
      </c>
      <c r="CX1657" s="26">
        <v>74</v>
      </c>
      <c r="CY1657" s="26">
        <v>34</v>
      </c>
      <c r="CZ1657" s="26" t="s">
        <v>1378</v>
      </c>
      <c r="FC1657" s="26">
        <v>75</v>
      </c>
    </row>
    <row r="1658" spans="1:159" s="35" customFormat="1" x14ac:dyDescent="0.25">
      <c r="A1658" s="35">
        <v>75</v>
      </c>
      <c r="B1658" s="35" t="s">
        <v>1369</v>
      </c>
      <c r="C1658" s="35" t="s">
        <v>1370</v>
      </c>
      <c r="D1658" s="35">
        <v>1989</v>
      </c>
      <c r="E1658" s="35">
        <v>1987</v>
      </c>
      <c r="F1658" s="35" t="s">
        <v>524</v>
      </c>
      <c r="G1658" s="35" t="s">
        <v>1371</v>
      </c>
      <c r="H1658" s="35">
        <v>38.950000000000003</v>
      </c>
      <c r="I1658" s="35">
        <v>-91.94</v>
      </c>
      <c r="J1658" s="35">
        <v>251.9</v>
      </c>
      <c r="P1658" s="54" t="s">
        <v>181</v>
      </c>
      <c r="Q1658" s="54"/>
      <c r="R1658" s="54" t="s">
        <v>1376</v>
      </c>
      <c r="S1658" s="52" t="s">
        <v>1640</v>
      </c>
      <c r="T1658" s="52" t="s">
        <v>1640</v>
      </c>
      <c r="X1658" s="35" t="s">
        <v>168</v>
      </c>
      <c r="AB1658" s="35" t="s">
        <v>1596</v>
      </c>
      <c r="AC1658" s="35" t="s">
        <v>1826</v>
      </c>
      <c r="AD1658" s="153" t="str">
        <f t="shared" si="282"/>
        <v>Canada_bluegrass</v>
      </c>
      <c r="AE1658" s="35" t="s">
        <v>205</v>
      </c>
      <c r="AG1658" s="35" t="s">
        <v>154</v>
      </c>
      <c r="AM1658" s="35" t="s">
        <v>1377</v>
      </c>
      <c r="AN1658" s="35" t="s">
        <v>1377</v>
      </c>
      <c r="AO1658" s="35" t="s">
        <v>230</v>
      </c>
      <c r="AQ1658" s="35">
        <v>2</v>
      </c>
      <c r="AR1658" s="35">
        <v>2</v>
      </c>
      <c r="AS1658" s="35" t="s">
        <v>177</v>
      </c>
      <c r="CU1658" s="35">
        <v>217</v>
      </c>
      <c r="CV1658" s="35">
        <v>0</v>
      </c>
      <c r="CW1658" s="35" t="s">
        <v>1379</v>
      </c>
      <c r="CX1658" s="35">
        <v>2</v>
      </c>
      <c r="CY1658" s="35">
        <v>0</v>
      </c>
      <c r="CZ1658" s="35" t="s">
        <v>1378</v>
      </c>
      <c r="FC1658" s="35">
        <v>75</v>
      </c>
    </row>
    <row r="1659" spans="1:159" s="35" customFormat="1" x14ac:dyDescent="0.25">
      <c r="A1659" s="35">
        <v>75</v>
      </c>
      <c r="B1659" s="35" t="s">
        <v>1369</v>
      </c>
      <c r="C1659" s="35" t="s">
        <v>1370</v>
      </c>
      <c r="D1659" s="35">
        <v>1989</v>
      </c>
      <c r="E1659" s="35">
        <v>1987</v>
      </c>
      <c r="F1659" s="35" t="s">
        <v>524</v>
      </c>
      <c r="G1659" s="35" t="s">
        <v>1371</v>
      </c>
      <c r="H1659" s="35">
        <v>38.950000000000003</v>
      </c>
      <c r="I1659" s="35">
        <v>-91.94</v>
      </c>
      <c r="J1659" s="35">
        <v>251.9</v>
      </c>
      <c r="P1659" s="54" t="s">
        <v>181</v>
      </c>
      <c r="Q1659" s="54"/>
      <c r="R1659" s="54" t="s">
        <v>1372</v>
      </c>
      <c r="S1659" s="52" t="s">
        <v>1640</v>
      </c>
      <c r="T1659" s="52" t="s">
        <v>1640</v>
      </c>
      <c r="X1659" s="35" t="s">
        <v>168</v>
      </c>
      <c r="AB1659" s="35" t="s">
        <v>1596</v>
      </c>
      <c r="AC1659" s="35" t="s">
        <v>1826</v>
      </c>
      <c r="AD1659" s="153" t="str">
        <f t="shared" si="282"/>
        <v>Canada_bluegrass</v>
      </c>
      <c r="AE1659" s="35" t="s">
        <v>205</v>
      </c>
      <c r="AG1659" s="35" t="s">
        <v>154</v>
      </c>
      <c r="AM1659" s="35" t="s">
        <v>1377</v>
      </c>
      <c r="AN1659" s="35" t="s">
        <v>1377</v>
      </c>
      <c r="AO1659" s="35" t="s">
        <v>230</v>
      </c>
      <c r="AQ1659" s="35">
        <v>2</v>
      </c>
      <c r="AR1659" s="35">
        <v>2</v>
      </c>
      <c r="AS1659" s="35" t="s">
        <v>177</v>
      </c>
      <c r="CU1659" s="35">
        <v>1317</v>
      </c>
      <c r="CV1659" s="35">
        <v>0</v>
      </c>
      <c r="CW1659" s="35" t="s">
        <v>1379</v>
      </c>
      <c r="CX1659" s="35">
        <v>33</v>
      </c>
      <c r="CY1659" s="35">
        <v>0</v>
      </c>
      <c r="CZ1659" s="35" t="s">
        <v>1378</v>
      </c>
      <c r="FC1659" s="35">
        <v>75</v>
      </c>
    </row>
    <row r="1660" spans="1:159" s="35" customFormat="1" x14ac:dyDescent="0.25">
      <c r="A1660" s="35">
        <v>75</v>
      </c>
      <c r="B1660" s="35" t="s">
        <v>1369</v>
      </c>
      <c r="C1660" s="35" t="s">
        <v>1370</v>
      </c>
      <c r="D1660" s="35">
        <v>1989</v>
      </c>
      <c r="E1660" s="35">
        <v>1987</v>
      </c>
      <c r="F1660" s="35" t="s">
        <v>524</v>
      </c>
      <c r="G1660" s="35" t="s">
        <v>1371</v>
      </c>
      <c r="H1660" s="35">
        <v>38.950000000000003</v>
      </c>
      <c r="I1660" s="35">
        <v>-91.94</v>
      </c>
      <c r="J1660" s="35">
        <v>251.9</v>
      </c>
      <c r="P1660" s="54" t="s">
        <v>181</v>
      </c>
      <c r="Q1660" s="54"/>
      <c r="R1660" s="54" t="s">
        <v>1373</v>
      </c>
      <c r="S1660" s="52" t="s">
        <v>1640</v>
      </c>
      <c r="T1660" s="52" t="s">
        <v>1640</v>
      </c>
      <c r="X1660" s="35" t="s">
        <v>168</v>
      </c>
      <c r="AB1660" s="35" t="s">
        <v>1596</v>
      </c>
      <c r="AC1660" s="35" t="s">
        <v>1826</v>
      </c>
      <c r="AD1660" s="153" t="str">
        <f t="shared" si="282"/>
        <v>Canada_bluegrass</v>
      </c>
      <c r="AE1660" s="35" t="s">
        <v>205</v>
      </c>
      <c r="AG1660" s="35" t="s">
        <v>154</v>
      </c>
      <c r="AM1660" s="35" t="s">
        <v>1377</v>
      </c>
      <c r="AN1660" s="35" t="s">
        <v>1377</v>
      </c>
      <c r="AO1660" s="35" t="s">
        <v>230</v>
      </c>
      <c r="AQ1660" s="35">
        <v>2</v>
      </c>
      <c r="AR1660" s="35">
        <v>2</v>
      </c>
      <c r="AS1660" s="35" t="s">
        <v>177</v>
      </c>
      <c r="CU1660" s="35">
        <v>0</v>
      </c>
      <c r="CV1660" s="35">
        <v>0</v>
      </c>
      <c r="CW1660" s="35" t="s">
        <v>1379</v>
      </c>
      <c r="CX1660" s="35">
        <v>1E-3</v>
      </c>
      <c r="CY1660" s="35">
        <v>0</v>
      </c>
      <c r="CZ1660" s="35" t="s">
        <v>1378</v>
      </c>
      <c r="FC1660" s="35">
        <v>75</v>
      </c>
    </row>
    <row r="1661" spans="1:159" s="35" customFormat="1" x14ac:dyDescent="0.25">
      <c r="A1661" s="35">
        <v>75</v>
      </c>
      <c r="B1661" s="35" t="s">
        <v>1369</v>
      </c>
      <c r="C1661" s="35" t="s">
        <v>1370</v>
      </c>
      <c r="D1661" s="35">
        <v>1989</v>
      </c>
      <c r="E1661" s="35">
        <v>1987</v>
      </c>
      <c r="F1661" s="35" t="s">
        <v>524</v>
      </c>
      <c r="G1661" s="35" t="s">
        <v>1371</v>
      </c>
      <c r="H1661" s="35">
        <v>38.950000000000003</v>
      </c>
      <c r="I1661" s="35">
        <v>-91.94</v>
      </c>
      <c r="J1661" s="35">
        <v>251.9</v>
      </c>
      <c r="P1661" s="54" t="s">
        <v>181</v>
      </c>
      <c r="Q1661" s="54"/>
      <c r="R1661" s="54" t="s">
        <v>1374</v>
      </c>
      <c r="S1661" s="52" t="s">
        <v>1640</v>
      </c>
      <c r="T1661" s="52" t="s">
        <v>1640</v>
      </c>
      <c r="X1661" s="35" t="s">
        <v>168</v>
      </c>
      <c r="AB1661" s="35" t="s">
        <v>1596</v>
      </c>
      <c r="AC1661" s="35" t="s">
        <v>1826</v>
      </c>
      <c r="AD1661" s="153" t="str">
        <f t="shared" si="282"/>
        <v>Canada_bluegrass</v>
      </c>
      <c r="AE1661" s="35" t="s">
        <v>205</v>
      </c>
      <c r="AG1661" s="35" t="s">
        <v>154</v>
      </c>
      <c r="AM1661" s="35" t="s">
        <v>1377</v>
      </c>
      <c r="AN1661" s="35" t="s">
        <v>1377</v>
      </c>
      <c r="AO1661" s="35" t="s">
        <v>230</v>
      </c>
      <c r="AQ1661" s="35">
        <v>2</v>
      </c>
      <c r="AR1661" s="35">
        <v>2</v>
      </c>
      <c r="AS1661" s="35" t="s">
        <v>177</v>
      </c>
      <c r="CU1661" s="35">
        <v>111</v>
      </c>
      <c r="CV1661" s="35">
        <v>0</v>
      </c>
      <c r="CW1661" s="35" t="s">
        <v>1379</v>
      </c>
      <c r="CX1661" s="35">
        <v>57</v>
      </c>
      <c r="CY1661" s="35">
        <v>20</v>
      </c>
      <c r="CZ1661" s="35" t="s">
        <v>1378</v>
      </c>
      <c r="FC1661" s="35">
        <v>75</v>
      </c>
    </row>
    <row r="1662" spans="1:159" s="35" customFormat="1" x14ac:dyDescent="0.25">
      <c r="A1662" s="35">
        <v>75</v>
      </c>
      <c r="B1662" s="35" t="s">
        <v>1369</v>
      </c>
      <c r="C1662" s="35" t="s">
        <v>1370</v>
      </c>
      <c r="D1662" s="35">
        <v>1989</v>
      </c>
      <c r="E1662" s="35">
        <v>1987</v>
      </c>
      <c r="F1662" s="35" t="s">
        <v>524</v>
      </c>
      <c r="G1662" s="35" t="s">
        <v>1371</v>
      </c>
      <c r="H1662" s="35">
        <v>38.950000000000003</v>
      </c>
      <c r="I1662" s="35">
        <v>-91.94</v>
      </c>
      <c r="J1662" s="35">
        <v>251.9</v>
      </c>
      <c r="P1662" s="54" t="s">
        <v>181</v>
      </c>
      <c r="Q1662" s="54"/>
      <c r="R1662" s="54" t="s">
        <v>1375</v>
      </c>
      <c r="S1662" s="52" t="s">
        <v>1640</v>
      </c>
      <c r="T1662" s="52" t="s">
        <v>1640</v>
      </c>
      <c r="X1662" s="35" t="s">
        <v>168</v>
      </c>
      <c r="AB1662" s="35" t="s">
        <v>1596</v>
      </c>
      <c r="AC1662" s="35" t="s">
        <v>1826</v>
      </c>
      <c r="AD1662" s="153" t="str">
        <f t="shared" si="282"/>
        <v>Canada_bluegrass</v>
      </c>
      <c r="AE1662" s="35" t="s">
        <v>205</v>
      </c>
      <c r="AG1662" s="35" t="s">
        <v>154</v>
      </c>
      <c r="AM1662" s="35" t="s">
        <v>1377</v>
      </c>
      <c r="AN1662" s="35" t="s">
        <v>1377</v>
      </c>
      <c r="AO1662" s="35" t="s">
        <v>230</v>
      </c>
      <c r="AQ1662" s="35">
        <v>2</v>
      </c>
      <c r="AR1662" s="35">
        <v>2</v>
      </c>
      <c r="AS1662" s="35" t="s">
        <v>177</v>
      </c>
      <c r="CU1662" s="35">
        <v>1534</v>
      </c>
      <c r="CV1662" s="35">
        <v>0</v>
      </c>
      <c r="CW1662" s="35" t="s">
        <v>1379</v>
      </c>
      <c r="CX1662" s="35">
        <v>74</v>
      </c>
      <c r="CY1662" s="35">
        <v>12</v>
      </c>
      <c r="CZ1662" s="35" t="s">
        <v>1378</v>
      </c>
      <c r="FC1662" s="35">
        <v>75</v>
      </c>
    </row>
    <row r="1663" spans="1:159" s="26" customFormat="1" x14ac:dyDescent="0.25">
      <c r="A1663" s="26">
        <v>75</v>
      </c>
      <c r="B1663" s="26" t="s">
        <v>1369</v>
      </c>
      <c r="C1663" s="26" t="s">
        <v>1370</v>
      </c>
      <c r="D1663" s="26">
        <v>1989</v>
      </c>
      <c r="E1663" s="26">
        <v>1987</v>
      </c>
      <c r="F1663" s="26" t="s">
        <v>524</v>
      </c>
      <c r="G1663" s="26" t="s">
        <v>1371</v>
      </c>
      <c r="H1663" s="26">
        <v>38.950000000000003</v>
      </c>
      <c r="I1663" s="26">
        <v>-91.94</v>
      </c>
      <c r="J1663" s="26">
        <v>251.9</v>
      </c>
      <c r="P1663" s="52" t="s">
        <v>181</v>
      </c>
      <c r="Q1663" s="52"/>
      <c r="R1663" s="52" t="s">
        <v>1376</v>
      </c>
      <c r="S1663" s="52" t="s">
        <v>1640</v>
      </c>
      <c r="T1663" s="52" t="s">
        <v>1640</v>
      </c>
      <c r="X1663" s="26" t="s">
        <v>168</v>
      </c>
      <c r="AB1663" s="26" t="s">
        <v>1596</v>
      </c>
      <c r="AC1663" s="26" t="s">
        <v>1827</v>
      </c>
      <c r="AD1663" s="153" t="str">
        <f t="shared" si="282"/>
        <v>Rye</v>
      </c>
      <c r="AE1663" s="26" t="s">
        <v>205</v>
      </c>
      <c r="AG1663" s="26" t="s">
        <v>154</v>
      </c>
      <c r="AM1663" s="26" t="s">
        <v>1377</v>
      </c>
      <c r="AN1663" s="26" t="s">
        <v>1377</v>
      </c>
      <c r="AO1663" s="26" t="s">
        <v>230</v>
      </c>
      <c r="AQ1663" s="26">
        <v>2</v>
      </c>
      <c r="AR1663" s="26">
        <v>2</v>
      </c>
      <c r="AS1663" s="26" t="s">
        <v>177</v>
      </c>
      <c r="CU1663" s="26">
        <v>217</v>
      </c>
      <c r="CV1663" s="26">
        <v>0</v>
      </c>
      <c r="CW1663" s="26" t="s">
        <v>1379</v>
      </c>
      <c r="CX1663" s="26">
        <v>2</v>
      </c>
      <c r="CY1663" s="26">
        <v>0</v>
      </c>
      <c r="CZ1663" s="26" t="s">
        <v>1378</v>
      </c>
      <c r="FC1663" s="26">
        <v>75</v>
      </c>
    </row>
    <row r="1664" spans="1:159" s="26" customFormat="1" x14ac:dyDescent="0.25">
      <c r="A1664" s="26">
        <v>75</v>
      </c>
      <c r="B1664" s="26" t="s">
        <v>1369</v>
      </c>
      <c r="C1664" s="26" t="s">
        <v>1370</v>
      </c>
      <c r="D1664" s="26">
        <v>1989</v>
      </c>
      <c r="E1664" s="26">
        <v>1987</v>
      </c>
      <c r="F1664" s="26" t="s">
        <v>524</v>
      </c>
      <c r="G1664" s="26" t="s">
        <v>1371</v>
      </c>
      <c r="H1664" s="26">
        <v>38.950000000000003</v>
      </c>
      <c r="I1664" s="26">
        <v>-91.94</v>
      </c>
      <c r="J1664" s="26">
        <v>251.9</v>
      </c>
      <c r="P1664" s="52" t="s">
        <v>181</v>
      </c>
      <c r="Q1664" s="52"/>
      <c r="R1664" s="52" t="s">
        <v>1372</v>
      </c>
      <c r="S1664" s="52" t="s">
        <v>1640</v>
      </c>
      <c r="T1664" s="52" t="s">
        <v>1640</v>
      </c>
      <c r="X1664" s="26" t="s">
        <v>168</v>
      </c>
      <c r="AB1664" s="26" t="s">
        <v>1596</v>
      </c>
      <c r="AC1664" s="26" t="s">
        <v>1827</v>
      </c>
      <c r="AD1664" s="153" t="str">
        <f t="shared" si="282"/>
        <v>Rye</v>
      </c>
      <c r="AE1664" s="26" t="s">
        <v>205</v>
      </c>
      <c r="AG1664" s="26" t="s">
        <v>154</v>
      </c>
      <c r="AM1664" s="26" t="s">
        <v>1377</v>
      </c>
      <c r="AN1664" s="26" t="s">
        <v>1377</v>
      </c>
      <c r="AO1664" s="26" t="s">
        <v>230</v>
      </c>
      <c r="AQ1664" s="26">
        <v>2</v>
      </c>
      <c r="AR1664" s="26">
        <v>2</v>
      </c>
      <c r="AS1664" s="26" t="s">
        <v>177</v>
      </c>
      <c r="CU1664" s="26">
        <v>1317</v>
      </c>
      <c r="CV1664" s="26">
        <v>0</v>
      </c>
      <c r="CW1664" s="26" t="s">
        <v>1379</v>
      </c>
      <c r="CX1664" s="26">
        <v>33</v>
      </c>
      <c r="CY1664" s="26">
        <v>0</v>
      </c>
      <c r="CZ1664" s="26" t="s">
        <v>1378</v>
      </c>
      <c r="FC1664" s="26">
        <v>75</v>
      </c>
    </row>
    <row r="1665" spans="1:159" s="26" customFormat="1" x14ac:dyDescent="0.25">
      <c r="A1665" s="26">
        <v>75</v>
      </c>
      <c r="B1665" s="26" t="s">
        <v>1369</v>
      </c>
      <c r="C1665" s="26" t="s">
        <v>1370</v>
      </c>
      <c r="D1665" s="26">
        <v>1989</v>
      </c>
      <c r="E1665" s="26">
        <v>1987</v>
      </c>
      <c r="F1665" s="26" t="s">
        <v>524</v>
      </c>
      <c r="G1665" s="26" t="s">
        <v>1371</v>
      </c>
      <c r="H1665" s="26">
        <v>38.950000000000003</v>
      </c>
      <c r="I1665" s="26">
        <v>-91.94</v>
      </c>
      <c r="J1665" s="26">
        <v>251.9</v>
      </c>
      <c r="P1665" s="52" t="s">
        <v>181</v>
      </c>
      <c r="Q1665" s="52"/>
      <c r="R1665" s="52" t="s">
        <v>1373</v>
      </c>
      <c r="S1665" s="52" t="s">
        <v>1640</v>
      </c>
      <c r="T1665" s="52" t="s">
        <v>1640</v>
      </c>
      <c r="X1665" s="26" t="s">
        <v>168</v>
      </c>
      <c r="AB1665" s="26" t="s">
        <v>1596</v>
      </c>
      <c r="AC1665" s="26" t="s">
        <v>1827</v>
      </c>
      <c r="AD1665" s="153" t="str">
        <f t="shared" si="282"/>
        <v>Rye</v>
      </c>
      <c r="AE1665" s="26" t="s">
        <v>205</v>
      </c>
      <c r="AG1665" s="26" t="s">
        <v>154</v>
      </c>
      <c r="AM1665" s="26" t="s">
        <v>1377</v>
      </c>
      <c r="AN1665" s="26" t="s">
        <v>1377</v>
      </c>
      <c r="AO1665" s="26" t="s">
        <v>230</v>
      </c>
      <c r="AQ1665" s="26">
        <v>2</v>
      </c>
      <c r="AR1665" s="26">
        <v>2</v>
      </c>
      <c r="AS1665" s="26" t="s">
        <v>177</v>
      </c>
      <c r="CU1665" s="26">
        <v>0</v>
      </c>
      <c r="CV1665" s="26">
        <v>0</v>
      </c>
      <c r="CW1665" s="26" t="s">
        <v>1379</v>
      </c>
      <c r="CX1665" s="26">
        <v>1E-3</v>
      </c>
      <c r="CY1665" s="26">
        <v>0</v>
      </c>
      <c r="CZ1665" s="26" t="s">
        <v>1378</v>
      </c>
      <c r="FC1665" s="26">
        <v>75</v>
      </c>
    </row>
    <row r="1666" spans="1:159" s="26" customFormat="1" x14ac:dyDescent="0.25">
      <c r="A1666" s="26">
        <v>75</v>
      </c>
      <c r="B1666" s="26" t="s">
        <v>1369</v>
      </c>
      <c r="C1666" s="26" t="s">
        <v>1370</v>
      </c>
      <c r="D1666" s="26">
        <v>1989</v>
      </c>
      <c r="E1666" s="26">
        <v>1987</v>
      </c>
      <c r="F1666" s="26" t="s">
        <v>524</v>
      </c>
      <c r="G1666" s="26" t="s">
        <v>1371</v>
      </c>
      <c r="H1666" s="26">
        <v>38.950000000000003</v>
      </c>
      <c r="I1666" s="26">
        <v>-91.94</v>
      </c>
      <c r="J1666" s="26">
        <v>251.9</v>
      </c>
      <c r="P1666" s="52" t="s">
        <v>181</v>
      </c>
      <c r="Q1666" s="52"/>
      <c r="R1666" s="52" t="s">
        <v>1374</v>
      </c>
      <c r="S1666" s="52" t="s">
        <v>1640</v>
      </c>
      <c r="T1666" s="52" t="s">
        <v>1640</v>
      </c>
      <c r="X1666" s="26" t="s">
        <v>168</v>
      </c>
      <c r="AB1666" s="26" t="s">
        <v>1596</v>
      </c>
      <c r="AC1666" s="26" t="s">
        <v>1827</v>
      </c>
      <c r="AD1666" s="153" t="str">
        <f t="shared" si="282"/>
        <v>Rye</v>
      </c>
      <c r="AE1666" s="26" t="s">
        <v>205</v>
      </c>
      <c r="AG1666" s="26" t="s">
        <v>154</v>
      </c>
      <c r="AM1666" s="26" t="s">
        <v>1377</v>
      </c>
      <c r="AN1666" s="26" t="s">
        <v>1377</v>
      </c>
      <c r="AO1666" s="26" t="s">
        <v>230</v>
      </c>
      <c r="AQ1666" s="26">
        <v>2</v>
      </c>
      <c r="AR1666" s="26">
        <v>2</v>
      </c>
      <c r="AS1666" s="26" t="s">
        <v>177</v>
      </c>
      <c r="CU1666" s="26">
        <v>111</v>
      </c>
      <c r="CV1666" s="26">
        <v>0</v>
      </c>
      <c r="CW1666" s="26" t="s">
        <v>1379</v>
      </c>
      <c r="CX1666" s="26">
        <v>57</v>
      </c>
      <c r="CY1666" s="26">
        <v>36</v>
      </c>
      <c r="CZ1666" s="26" t="s">
        <v>1378</v>
      </c>
      <c r="FC1666" s="26">
        <v>75</v>
      </c>
    </row>
    <row r="1667" spans="1:159" s="26" customFormat="1" x14ac:dyDescent="0.25">
      <c r="A1667" s="26">
        <v>75</v>
      </c>
      <c r="B1667" s="26" t="s">
        <v>1369</v>
      </c>
      <c r="C1667" s="26" t="s">
        <v>1370</v>
      </c>
      <c r="D1667" s="26">
        <v>1989</v>
      </c>
      <c r="E1667" s="26">
        <v>1987</v>
      </c>
      <c r="F1667" s="26" t="s">
        <v>524</v>
      </c>
      <c r="G1667" s="26" t="s">
        <v>1371</v>
      </c>
      <c r="H1667" s="26">
        <v>38.950000000000003</v>
      </c>
      <c r="I1667" s="26">
        <v>-91.94</v>
      </c>
      <c r="J1667" s="26">
        <v>251.9</v>
      </c>
      <c r="P1667" s="52" t="s">
        <v>181</v>
      </c>
      <c r="Q1667" s="52"/>
      <c r="R1667" s="52" t="s">
        <v>1375</v>
      </c>
      <c r="S1667" s="52" t="s">
        <v>1640</v>
      </c>
      <c r="T1667" s="52" t="s">
        <v>1640</v>
      </c>
      <c r="X1667" s="26" t="s">
        <v>168</v>
      </c>
      <c r="AB1667" s="26" t="s">
        <v>1596</v>
      </c>
      <c r="AC1667" s="26" t="s">
        <v>1827</v>
      </c>
      <c r="AD1667" s="153" t="str">
        <f t="shared" ref="AD1667:AD1730" si="283">IF(OR(AC1667="*Rye",AC1667="Rye*",AC1667="Downy_brome"),"Rye",IF(OR(AC1667="*Oat",AC1667="Oat*",AC1667="Trudan_8",AC1667="*Wheat",AC1667="Wheat*",AC1667="Barley*",AC1667="Hemp",AC1667="Hemp",AC1667="Triticale*",AC1667="Grass",AC1667="Millet"),"Grass",IF(OR(AC1667="*clover",AC1667="clover*",AC1667="Vetch*",AC1667="Vetch*",AC1667="Alfalfa",AC1667="Soybean",AC1667="*Lentil",AC1667="Lentil*",AC1667="*Pea",AC1667="Pea*",AC1667="Lupine"),"Legume",AC1667)))</f>
        <v>Rye</v>
      </c>
      <c r="AE1667" s="26" t="s">
        <v>205</v>
      </c>
      <c r="AG1667" s="26" t="s">
        <v>154</v>
      </c>
      <c r="AM1667" s="26" t="s">
        <v>1377</v>
      </c>
      <c r="AN1667" s="26" t="s">
        <v>1377</v>
      </c>
      <c r="AO1667" s="26" t="s">
        <v>230</v>
      </c>
      <c r="AQ1667" s="26">
        <v>2</v>
      </c>
      <c r="AR1667" s="26">
        <v>2</v>
      </c>
      <c r="AS1667" s="26" t="s">
        <v>177</v>
      </c>
      <c r="CU1667" s="26">
        <v>1534</v>
      </c>
      <c r="CV1667" s="26">
        <v>0</v>
      </c>
      <c r="CW1667" s="26" t="s">
        <v>1379</v>
      </c>
      <c r="CX1667" s="26">
        <v>74</v>
      </c>
      <c r="CY1667" s="26">
        <v>23</v>
      </c>
      <c r="CZ1667" s="26" t="s">
        <v>1378</v>
      </c>
      <c r="FC1667" s="26">
        <v>75</v>
      </c>
    </row>
    <row r="1668" spans="1:159" s="31" customFormat="1" x14ac:dyDescent="0.25">
      <c r="A1668" s="31">
        <v>76</v>
      </c>
      <c r="B1668" s="31" t="s">
        <v>1686</v>
      </c>
      <c r="C1668" s="31" t="s">
        <v>1687</v>
      </c>
      <c r="D1668" s="31">
        <v>1992</v>
      </c>
      <c r="E1668" s="31">
        <v>1988</v>
      </c>
      <c r="F1668" s="31" t="s">
        <v>1688</v>
      </c>
      <c r="G1668" s="31" t="s">
        <v>1689</v>
      </c>
      <c r="H1668" s="31">
        <v>47.43</v>
      </c>
      <c r="I1668" s="31">
        <v>-69.92</v>
      </c>
      <c r="J1668" s="31">
        <v>160</v>
      </c>
      <c r="P1668" s="56" t="s">
        <v>179</v>
      </c>
      <c r="Q1668" s="56"/>
      <c r="R1668" s="56"/>
      <c r="S1668" s="56" t="s">
        <v>1645</v>
      </c>
      <c r="T1668" s="56" t="s">
        <v>1647</v>
      </c>
      <c r="V1668" s="31">
        <v>10</v>
      </c>
      <c r="W1668" s="31">
        <v>30</v>
      </c>
      <c r="X1668" s="31" t="s">
        <v>946</v>
      </c>
      <c r="AB1668" s="31" t="s">
        <v>1691</v>
      </c>
      <c r="AC1668" s="31" t="s">
        <v>1799</v>
      </c>
      <c r="AD1668" s="153" t="str">
        <f t="shared" si="283"/>
        <v>Red_clover</v>
      </c>
      <c r="AE1668" s="31" t="s">
        <v>1276</v>
      </c>
      <c r="AG1668" s="31" t="s">
        <v>1327</v>
      </c>
      <c r="AH1668" s="31" t="s">
        <v>1692</v>
      </c>
      <c r="AI1668" s="31" t="s">
        <v>618</v>
      </c>
      <c r="AP1668" s="31" t="s">
        <v>208</v>
      </c>
      <c r="AQ1668" s="31">
        <v>4</v>
      </c>
      <c r="AR1668" s="31">
        <v>4</v>
      </c>
      <c r="AS1668" s="31" t="s">
        <v>404</v>
      </c>
      <c r="DS1668" s="31">
        <v>199</v>
      </c>
      <c r="DT1668" s="31">
        <v>230</v>
      </c>
      <c r="DU1668" s="31" t="s">
        <v>1690</v>
      </c>
      <c r="DV1668" s="31">
        <f>0.57*10000</f>
        <v>5699.9999999999991</v>
      </c>
      <c r="DW1668" s="31">
        <f>0.61*10000</f>
        <v>6100</v>
      </c>
      <c r="DX1668" s="31" t="s">
        <v>1693</v>
      </c>
      <c r="EQ1668" s="31">
        <f>1.3*10000</f>
        <v>13000</v>
      </c>
      <c r="ER1668" s="31">
        <f>1.6*10000</f>
        <v>16000</v>
      </c>
      <c r="FA1668" s="31" t="s">
        <v>1694</v>
      </c>
      <c r="FC1668" s="31">
        <v>76</v>
      </c>
    </row>
    <row r="1669" spans="1:159" s="31" customFormat="1" x14ac:dyDescent="0.25">
      <c r="A1669" s="31">
        <v>76</v>
      </c>
      <c r="B1669" s="31" t="s">
        <v>1686</v>
      </c>
      <c r="C1669" s="31" t="s">
        <v>1687</v>
      </c>
      <c r="D1669" s="31">
        <v>1992</v>
      </c>
      <c r="E1669" s="31">
        <v>1988</v>
      </c>
      <c r="F1669" s="31" t="s">
        <v>1688</v>
      </c>
      <c r="G1669" s="31" t="s">
        <v>1689</v>
      </c>
      <c r="H1669" s="31">
        <v>47.43</v>
      </c>
      <c r="I1669" s="31">
        <v>-69.92</v>
      </c>
      <c r="J1669" s="31">
        <v>160</v>
      </c>
      <c r="P1669" s="56" t="s">
        <v>179</v>
      </c>
      <c r="Q1669" s="56"/>
      <c r="R1669" s="56"/>
      <c r="S1669" s="56" t="s">
        <v>1646</v>
      </c>
      <c r="T1669" s="56" t="s">
        <v>1647</v>
      </c>
      <c r="V1669" s="31">
        <v>10</v>
      </c>
      <c r="W1669" s="31">
        <v>30</v>
      </c>
      <c r="X1669" s="31" t="s">
        <v>946</v>
      </c>
      <c r="AB1669" s="31" t="s">
        <v>1691</v>
      </c>
      <c r="AC1669" s="31" t="s">
        <v>1799</v>
      </c>
      <c r="AD1669" s="153" t="str">
        <f t="shared" si="283"/>
        <v>Red_clover</v>
      </c>
      <c r="AE1669" s="31" t="s">
        <v>1276</v>
      </c>
      <c r="AG1669" s="31" t="s">
        <v>1327</v>
      </c>
      <c r="AH1669" s="31" t="s">
        <v>1692</v>
      </c>
      <c r="AI1669" s="31" t="s">
        <v>618</v>
      </c>
      <c r="AP1669" s="31" t="s">
        <v>208</v>
      </c>
      <c r="AQ1669" s="31">
        <v>4</v>
      </c>
      <c r="AR1669" s="31">
        <v>4</v>
      </c>
      <c r="AS1669" s="31" t="s">
        <v>404</v>
      </c>
      <c r="DS1669" s="31">
        <v>214</v>
      </c>
      <c r="DT1669" s="31">
        <v>230</v>
      </c>
      <c r="DU1669" s="31" t="s">
        <v>1690</v>
      </c>
      <c r="DV1669" s="31">
        <f>0.58*10000</f>
        <v>5800</v>
      </c>
      <c r="DW1669" s="31">
        <f>0.62*10000</f>
        <v>6200</v>
      </c>
      <c r="DX1669" s="31" t="s">
        <v>1693</v>
      </c>
      <c r="EQ1669" s="31">
        <f>1.4*10000</f>
        <v>14000</v>
      </c>
      <c r="ER1669" s="31">
        <f>1.6*10000</f>
        <v>16000</v>
      </c>
      <c r="FA1669" s="31" t="s">
        <v>1694</v>
      </c>
      <c r="FC1669" s="31">
        <v>76</v>
      </c>
    </row>
    <row r="1670" spans="1:159" s="24" customFormat="1" x14ac:dyDescent="0.25">
      <c r="A1670" s="24">
        <v>77</v>
      </c>
      <c r="B1670" s="24" t="s">
        <v>1696</v>
      </c>
      <c r="C1670" s="24" t="s">
        <v>1697</v>
      </c>
      <c r="D1670" s="24">
        <v>1993</v>
      </c>
      <c r="E1670" s="24">
        <v>1990</v>
      </c>
      <c r="F1670" s="24" t="s">
        <v>1698</v>
      </c>
      <c r="G1670" s="24" t="s">
        <v>1699</v>
      </c>
      <c r="H1670" s="24">
        <f>33+54/60</f>
        <v>33.9</v>
      </c>
      <c r="I1670" s="24">
        <f>-83-24/60</f>
        <v>-83.4</v>
      </c>
      <c r="J1670" s="24">
        <v>185.5</v>
      </c>
      <c r="P1670" s="55" t="s">
        <v>179</v>
      </c>
      <c r="Q1670" s="55"/>
      <c r="R1670" s="55"/>
      <c r="S1670" s="55" t="s">
        <v>1659</v>
      </c>
      <c r="T1670" s="55" t="s">
        <v>1659</v>
      </c>
      <c r="V1670" s="24">
        <f>100-(130+165+71+210+57+110+190)/7*0.1-W1670</f>
        <v>69.01428571428572</v>
      </c>
      <c r="W1670" s="24">
        <f>(260+120+127+149+150+210+220)/7*0.1</f>
        <v>17.657142857142858</v>
      </c>
      <c r="X1670" s="24" t="s">
        <v>298</v>
      </c>
      <c r="Z1670" s="24">
        <f>(24.4+17.8+13+8.3+6.7+12.1+14)/7*0.1</f>
        <v>1.3757142857142857</v>
      </c>
      <c r="AB1670" s="24" t="s">
        <v>1700</v>
      </c>
      <c r="AC1670" s="24" t="s">
        <v>501</v>
      </c>
      <c r="AD1670" s="153" t="str">
        <f t="shared" si="283"/>
        <v>Clover</v>
      </c>
      <c r="AE1670" s="24" t="s">
        <v>277</v>
      </c>
      <c r="AG1670" s="24" t="s">
        <v>1327</v>
      </c>
      <c r="AH1670" s="24" t="s">
        <v>1327</v>
      </c>
      <c r="AI1670" s="24" t="s">
        <v>1701</v>
      </c>
      <c r="AJ1670" s="24" t="s">
        <v>601</v>
      </c>
      <c r="AK1670" s="24" t="s">
        <v>203</v>
      </c>
      <c r="AL1670" s="24" t="s">
        <v>618</v>
      </c>
      <c r="AP1670" s="24" t="s">
        <v>154</v>
      </c>
      <c r="AQ1670" s="24">
        <v>3</v>
      </c>
      <c r="AR1670" s="24">
        <v>3</v>
      </c>
      <c r="BH1670" s="24">
        <f>(9.4+10.2)/2*0.1</f>
        <v>0.98000000000000009</v>
      </c>
      <c r="BI1670" s="24">
        <f>13.2/10</f>
        <v>1.3199999999999998</v>
      </c>
      <c r="CF1670" s="24">
        <f>(47+49)/2*10</f>
        <v>480</v>
      </c>
      <c r="CG1670" s="24">
        <f>64*10</f>
        <v>640</v>
      </c>
      <c r="CH1670" s="24" t="s">
        <v>1702</v>
      </c>
      <c r="CO1670" s="24">
        <f>(23.8+22.3)/2</f>
        <v>23.05</v>
      </c>
      <c r="CP1670" s="24">
        <v>46.3</v>
      </c>
      <c r="FC1670" s="24">
        <v>77</v>
      </c>
    </row>
    <row r="1671" spans="1:159" s="35" customFormat="1" x14ac:dyDescent="0.25">
      <c r="A1671" s="35">
        <v>78</v>
      </c>
      <c r="B1671" s="35" t="s">
        <v>1703</v>
      </c>
      <c r="C1671" s="35" t="s">
        <v>1704</v>
      </c>
      <c r="D1671" s="35">
        <v>2007</v>
      </c>
      <c r="E1671" s="35">
        <v>2005</v>
      </c>
      <c r="F1671" s="35" t="s">
        <v>524</v>
      </c>
      <c r="G1671" s="35" t="s">
        <v>644</v>
      </c>
      <c r="H1671" s="35">
        <f t="shared" ref="H1671:H1674" si="284">40+15/60</f>
        <v>40.25</v>
      </c>
      <c r="I1671" s="35">
        <v>-101.25</v>
      </c>
      <c r="J1671" s="35">
        <v>972</v>
      </c>
      <c r="P1671" s="54" t="s">
        <v>179</v>
      </c>
      <c r="Q1671" s="54"/>
      <c r="R1671" s="54"/>
      <c r="S1671" s="54" t="s">
        <v>1653</v>
      </c>
      <c r="T1671" s="54" t="s">
        <v>1706</v>
      </c>
      <c r="V1671" s="35">
        <v>20</v>
      </c>
      <c r="W1671" s="35">
        <f>100-20-(22+28+32)/3</f>
        <v>52.666666666666671</v>
      </c>
      <c r="X1671" s="35" t="s">
        <v>168</v>
      </c>
      <c r="AB1671" s="35" t="s">
        <v>1707</v>
      </c>
      <c r="AC1671" s="35" t="s">
        <v>645</v>
      </c>
      <c r="AD1671" s="153" t="str">
        <f t="shared" si="283"/>
        <v>Grass</v>
      </c>
      <c r="AE1671" s="35" t="s">
        <v>1636</v>
      </c>
      <c r="AP1671" s="35" t="s">
        <v>154</v>
      </c>
      <c r="AQ1671" s="35">
        <v>3</v>
      </c>
      <c r="AR1671" s="35">
        <v>3</v>
      </c>
      <c r="AS1671" s="35" t="s">
        <v>177</v>
      </c>
      <c r="BE1671" s="35">
        <v>1.36</v>
      </c>
      <c r="BF1671" s="35">
        <v>1.4</v>
      </c>
      <c r="BH1671" s="35">
        <v>0.82</v>
      </c>
      <c r="BI1671" s="35">
        <v>1.21</v>
      </c>
      <c r="CF1671" s="35">
        <v>25.8</v>
      </c>
      <c r="CG1671" s="35">
        <v>32.4</v>
      </c>
      <c r="CH1671" s="35" t="s">
        <v>1708</v>
      </c>
      <c r="CI1671" s="35">
        <v>23.3</v>
      </c>
      <c r="CJ1671" s="35">
        <v>22.7</v>
      </c>
      <c r="CR1671" s="35">
        <v>2.33</v>
      </c>
      <c r="CS1671" s="35">
        <v>3.58</v>
      </c>
    </row>
    <row r="1672" spans="1:159" s="138" customFormat="1" x14ac:dyDescent="0.25">
      <c r="A1672" s="35">
        <v>78</v>
      </c>
      <c r="B1672" s="136" t="s">
        <v>1703</v>
      </c>
      <c r="C1672" s="136" t="s">
        <v>1704</v>
      </c>
      <c r="D1672" s="136">
        <v>2007</v>
      </c>
      <c r="E1672" s="136">
        <v>2005</v>
      </c>
      <c r="F1672" s="136" t="s">
        <v>524</v>
      </c>
      <c r="G1672" s="136" t="s">
        <v>644</v>
      </c>
      <c r="H1672" s="136">
        <f t="shared" si="284"/>
        <v>40.25</v>
      </c>
      <c r="I1672" s="136">
        <v>-101.25</v>
      </c>
      <c r="J1672" s="35">
        <v>972</v>
      </c>
      <c r="K1672" s="136"/>
      <c r="L1672" s="136"/>
      <c r="M1672" s="136"/>
      <c r="N1672" s="136"/>
      <c r="O1672" s="136"/>
      <c r="P1672" s="54" t="s">
        <v>179</v>
      </c>
      <c r="Q1672" s="137"/>
      <c r="R1672" s="137"/>
      <c r="S1672" s="137" t="s">
        <v>1657</v>
      </c>
      <c r="T1672" s="54" t="s">
        <v>1706</v>
      </c>
      <c r="U1672" s="136"/>
      <c r="V1672" s="35">
        <v>20</v>
      </c>
      <c r="W1672" s="35">
        <f t="shared" ref="W1672:W1674" si="285">100-20-(22+28+32)/3</f>
        <v>52.666666666666671</v>
      </c>
      <c r="X1672" s="136" t="s">
        <v>168</v>
      </c>
      <c r="Y1672" s="136"/>
      <c r="Z1672" s="136"/>
      <c r="AA1672" s="136"/>
      <c r="AB1672" s="35" t="s">
        <v>1707</v>
      </c>
      <c r="AC1672" s="35" t="s">
        <v>645</v>
      </c>
      <c r="AD1672" s="153" t="str">
        <f t="shared" si="283"/>
        <v>Grass</v>
      </c>
      <c r="AE1672" s="136" t="s">
        <v>1636</v>
      </c>
      <c r="AF1672" s="136"/>
      <c r="AP1672" s="35" t="s">
        <v>154</v>
      </c>
      <c r="AQ1672" s="35">
        <v>3</v>
      </c>
      <c r="AR1672" s="35">
        <v>3</v>
      </c>
      <c r="AS1672" s="35" t="s">
        <v>177</v>
      </c>
      <c r="BE1672" s="35">
        <v>1.36</v>
      </c>
      <c r="BF1672" s="35">
        <v>1.34</v>
      </c>
      <c r="BH1672" s="138">
        <v>0.57999999999999996</v>
      </c>
      <c r="BI1672" s="138">
        <v>0.59</v>
      </c>
      <c r="CF1672" s="138">
        <v>25.8</v>
      </c>
      <c r="CG1672" s="138">
        <v>30.2</v>
      </c>
      <c r="CH1672" s="35" t="s">
        <v>1708</v>
      </c>
      <c r="CI1672" s="35">
        <v>23.2</v>
      </c>
      <c r="CJ1672" s="35">
        <v>30.14</v>
      </c>
      <c r="CR1672" s="35">
        <v>2.4900000000000002</v>
      </c>
      <c r="CS1672" s="35">
        <v>2.06</v>
      </c>
      <c r="DG1672" s="35"/>
      <c r="DH1672" s="35"/>
    </row>
    <row r="1673" spans="1:159" s="35" customFormat="1" x14ac:dyDescent="0.25">
      <c r="A1673" s="35">
        <v>78</v>
      </c>
      <c r="B1673" s="35" t="s">
        <v>1703</v>
      </c>
      <c r="C1673" s="35" t="s">
        <v>1704</v>
      </c>
      <c r="D1673" s="35">
        <v>2007</v>
      </c>
      <c r="E1673" s="35">
        <v>2005</v>
      </c>
      <c r="F1673" s="35" t="s">
        <v>524</v>
      </c>
      <c r="G1673" s="35" t="s">
        <v>644</v>
      </c>
      <c r="H1673" s="35">
        <f t="shared" si="284"/>
        <v>40.25</v>
      </c>
      <c r="I1673" s="35">
        <v>-101.25</v>
      </c>
      <c r="J1673" s="35">
        <v>972</v>
      </c>
      <c r="P1673" s="54" t="s">
        <v>179</v>
      </c>
      <c r="Q1673" s="54"/>
      <c r="R1673" s="54"/>
      <c r="S1673" s="54" t="s">
        <v>1658</v>
      </c>
      <c r="T1673" s="54" t="s">
        <v>1706</v>
      </c>
      <c r="V1673" s="35">
        <v>20</v>
      </c>
      <c r="W1673" s="35">
        <f t="shared" si="285"/>
        <v>52.666666666666671</v>
      </c>
      <c r="X1673" s="35" t="s">
        <v>168</v>
      </c>
      <c r="AB1673" s="35" t="s">
        <v>1707</v>
      </c>
      <c r="AC1673" s="35" t="s">
        <v>645</v>
      </c>
      <c r="AD1673" s="153" t="str">
        <f t="shared" si="283"/>
        <v>Grass</v>
      </c>
      <c r="AE1673" s="35" t="s">
        <v>1636</v>
      </c>
      <c r="AP1673" s="35" t="s">
        <v>154</v>
      </c>
      <c r="AQ1673" s="35">
        <v>3</v>
      </c>
      <c r="AR1673" s="35">
        <v>3</v>
      </c>
      <c r="AS1673" s="35" t="s">
        <v>177</v>
      </c>
      <c r="BE1673" s="35">
        <v>1.23</v>
      </c>
      <c r="BF1673" s="35">
        <v>1.28</v>
      </c>
      <c r="BH1673" s="35">
        <v>0.46</v>
      </c>
      <c r="BI1673" s="35">
        <v>0.61</v>
      </c>
      <c r="CF1673" s="35">
        <v>83</v>
      </c>
      <c r="CG1673" s="35">
        <v>120.3</v>
      </c>
      <c r="CH1673" s="35" t="s">
        <v>1708</v>
      </c>
      <c r="CI1673" s="35">
        <v>27.97</v>
      </c>
      <c r="CJ1673" s="35">
        <v>29.7</v>
      </c>
      <c r="CR1673" s="35">
        <v>4.01</v>
      </c>
      <c r="CS1673" s="35">
        <v>3.36</v>
      </c>
    </row>
    <row r="1674" spans="1:159" s="35" customFormat="1" x14ac:dyDescent="0.25">
      <c r="A1674" s="35">
        <v>78</v>
      </c>
      <c r="B1674" s="35" t="s">
        <v>1703</v>
      </c>
      <c r="C1674" s="35" t="s">
        <v>1704</v>
      </c>
      <c r="D1674" s="35">
        <v>2007</v>
      </c>
      <c r="E1674" s="35">
        <v>2005</v>
      </c>
      <c r="F1674" s="35" t="s">
        <v>524</v>
      </c>
      <c r="G1674" s="35" t="s">
        <v>644</v>
      </c>
      <c r="H1674" s="35">
        <f t="shared" si="284"/>
        <v>40.25</v>
      </c>
      <c r="I1674" s="35">
        <v>-101.25</v>
      </c>
      <c r="J1674" s="35">
        <v>972</v>
      </c>
      <c r="P1674" s="54" t="s">
        <v>179</v>
      </c>
      <c r="Q1674" s="54"/>
      <c r="R1674" s="54"/>
      <c r="S1674" s="54" t="s">
        <v>1705</v>
      </c>
      <c r="T1674" s="54" t="s">
        <v>1706</v>
      </c>
      <c r="V1674" s="35">
        <v>20</v>
      </c>
      <c r="W1674" s="35">
        <f t="shared" si="285"/>
        <v>52.666666666666671</v>
      </c>
      <c r="X1674" s="35" t="s">
        <v>168</v>
      </c>
      <c r="AB1674" s="35" t="s">
        <v>1707</v>
      </c>
      <c r="AC1674" s="35" t="s">
        <v>645</v>
      </c>
      <c r="AD1674" s="153" t="str">
        <f t="shared" si="283"/>
        <v>Grass</v>
      </c>
      <c r="AE1674" s="35" t="s">
        <v>1636</v>
      </c>
      <c r="AP1674" s="35" t="s">
        <v>154</v>
      </c>
      <c r="AQ1674" s="35">
        <v>3</v>
      </c>
      <c r="AR1674" s="35">
        <v>3</v>
      </c>
      <c r="AS1674" s="35" t="s">
        <v>177</v>
      </c>
      <c r="BE1674" s="35">
        <v>1.34</v>
      </c>
      <c r="BF1674" s="35">
        <v>1.27</v>
      </c>
      <c r="BH1674" s="35">
        <v>0.6</v>
      </c>
      <c r="BI1674" s="35">
        <v>0.61</v>
      </c>
      <c r="CF1674" s="35">
        <v>89.56</v>
      </c>
      <c r="CG1674" s="35">
        <v>142.31</v>
      </c>
      <c r="CH1674" s="35" t="s">
        <v>1708</v>
      </c>
      <c r="CI1674" s="35">
        <v>25.8</v>
      </c>
      <c r="CJ1674" s="35">
        <v>29.27</v>
      </c>
      <c r="CR1674" s="35">
        <v>2.93</v>
      </c>
      <c r="CS1674" s="35">
        <v>3.14</v>
      </c>
    </row>
    <row r="1675" spans="1:159" s="139" customFormat="1" x14ac:dyDescent="0.25">
      <c r="A1675" s="139">
        <v>79</v>
      </c>
      <c r="B1675" s="139" t="s">
        <v>191</v>
      </c>
      <c r="C1675" s="139" t="s">
        <v>1711</v>
      </c>
      <c r="D1675" s="139">
        <v>2010</v>
      </c>
      <c r="E1675" s="139">
        <v>2001</v>
      </c>
      <c r="F1675" s="139" t="s">
        <v>1712</v>
      </c>
      <c r="G1675" s="139" t="s">
        <v>1713</v>
      </c>
      <c r="H1675" s="139">
        <v>38.14</v>
      </c>
      <c r="I1675" s="139">
        <v>-97.43</v>
      </c>
      <c r="J1675" s="139">
        <v>450</v>
      </c>
      <c r="L1675" s="139">
        <v>14.4</v>
      </c>
      <c r="N1675" s="139">
        <v>874</v>
      </c>
      <c r="P1675" s="140" t="s">
        <v>1022</v>
      </c>
      <c r="Q1675" s="140" t="s">
        <v>1715</v>
      </c>
      <c r="S1675" s="140" t="s">
        <v>1645</v>
      </c>
      <c r="T1675" s="140" t="s">
        <v>1647</v>
      </c>
      <c r="X1675" s="139" t="s">
        <v>1714</v>
      </c>
      <c r="AC1675" s="139" t="s">
        <v>1828</v>
      </c>
      <c r="AD1675" s="153" t="str">
        <f t="shared" si="283"/>
        <v>Hairy_vetch</v>
      </c>
      <c r="AE1675" s="139" t="s">
        <v>1642</v>
      </c>
      <c r="AM1675" s="139" t="s">
        <v>209</v>
      </c>
      <c r="AN1675" s="139" t="s">
        <v>209</v>
      </c>
      <c r="AO1675" s="139" t="s">
        <v>230</v>
      </c>
      <c r="AP1675" s="139" t="s">
        <v>154</v>
      </c>
      <c r="AQ1675" s="139">
        <v>4</v>
      </c>
      <c r="AR1675" s="139">
        <v>4</v>
      </c>
      <c r="AS1675" s="139" t="s">
        <v>177</v>
      </c>
      <c r="BE1675" s="139">
        <v>1.6975</v>
      </c>
      <c r="BF1675" s="139">
        <v>1.6327</v>
      </c>
      <c r="BH1675" s="139">
        <v>1.3640000000000001</v>
      </c>
      <c r="BI1675" s="139">
        <v>1.6955</v>
      </c>
      <c r="BJ1675" s="139" t="s">
        <v>1209</v>
      </c>
      <c r="CF1675" s="139">
        <v>115</v>
      </c>
      <c r="CG1675" s="139">
        <v>138</v>
      </c>
      <c r="CH1675" s="139" t="s">
        <v>1718</v>
      </c>
      <c r="CL1675" s="139">
        <v>0.86129999999999995</v>
      </c>
      <c r="CM1675" s="139">
        <v>0.80740000000000001</v>
      </c>
      <c r="CN1675" s="139" t="s">
        <v>1717</v>
      </c>
      <c r="CO1675" s="139">
        <f>(1.12+3.14+5.7)/3</f>
        <v>3.3200000000000003</v>
      </c>
      <c r="CP1675" s="139">
        <f>(1.88+6.2+11.22)/3</f>
        <v>6.4333333333333336</v>
      </c>
      <c r="DD1675" s="139">
        <v>7.71</v>
      </c>
      <c r="DE1675" s="139">
        <v>7.66</v>
      </c>
      <c r="DG1675" s="139">
        <f>0.1568*100</f>
        <v>15.68</v>
      </c>
      <c r="DH1675" s="139">
        <v>16.837</v>
      </c>
      <c r="DS1675" s="139">
        <v>100</v>
      </c>
      <c r="DT1675" s="139">
        <v>380</v>
      </c>
    </row>
    <row r="1676" spans="1:159" s="139" customFormat="1" x14ac:dyDescent="0.25">
      <c r="A1676" s="139">
        <v>79</v>
      </c>
      <c r="B1676" s="139" t="s">
        <v>191</v>
      </c>
      <c r="C1676" s="139" t="s">
        <v>1711</v>
      </c>
      <c r="D1676" s="139">
        <v>2010</v>
      </c>
      <c r="E1676" s="139">
        <v>2001</v>
      </c>
      <c r="F1676" s="139" t="s">
        <v>1712</v>
      </c>
      <c r="G1676" s="139" t="s">
        <v>1713</v>
      </c>
      <c r="H1676" s="139">
        <v>38.14</v>
      </c>
      <c r="I1676" s="139">
        <v>-97.43</v>
      </c>
      <c r="J1676" s="139">
        <v>450</v>
      </c>
      <c r="L1676" s="139">
        <v>14.4</v>
      </c>
      <c r="N1676" s="139">
        <v>874</v>
      </c>
      <c r="P1676" s="140" t="s">
        <v>1022</v>
      </c>
      <c r="Q1676" s="140" t="s">
        <v>1715</v>
      </c>
      <c r="S1676" s="140" t="s">
        <v>1646</v>
      </c>
      <c r="T1676" s="140" t="s">
        <v>1647</v>
      </c>
      <c r="X1676" s="139" t="s">
        <v>1714</v>
      </c>
      <c r="AC1676" s="139" t="s">
        <v>1828</v>
      </c>
      <c r="AD1676" s="153" t="str">
        <f t="shared" si="283"/>
        <v>Hairy_vetch</v>
      </c>
      <c r="AE1676" s="139" t="s">
        <v>1642</v>
      </c>
      <c r="AM1676" s="139" t="s">
        <v>209</v>
      </c>
      <c r="AN1676" s="139" t="s">
        <v>209</v>
      </c>
      <c r="AO1676" s="139" t="s">
        <v>230</v>
      </c>
      <c r="AP1676" s="139" t="s">
        <v>154</v>
      </c>
      <c r="AQ1676" s="139">
        <v>4</v>
      </c>
      <c r="AR1676" s="139">
        <v>4</v>
      </c>
      <c r="AS1676" s="139" t="s">
        <v>177</v>
      </c>
      <c r="BE1676" s="139">
        <v>1.6904999999999999</v>
      </c>
      <c r="BF1676" s="139">
        <v>1.7</v>
      </c>
      <c r="BH1676" s="139">
        <v>1.03</v>
      </c>
      <c r="BI1676" s="139">
        <v>1.0688</v>
      </c>
      <c r="BJ1676" s="139" t="s">
        <v>1209</v>
      </c>
      <c r="CF1676" s="139">
        <v>172</v>
      </c>
      <c r="CG1676" s="139">
        <v>170</v>
      </c>
      <c r="CH1676" s="139" t="s">
        <v>1718</v>
      </c>
      <c r="CL1676" s="139">
        <v>0.86129999999999995</v>
      </c>
      <c r="CM1676" s="139">
        <f>(1.0549+0.9738)/2</f>
        <v>1.0143499999999999</v>
      </c>
      <c r="CN1676" s="139" t="s">
        <v>1717</v>
      </c>
      <c r="DD1676" s="139">
        <v>11.75</v>
      </c>
      <c r="DE1676" s="139">
        <v>11.64</v>
      </c>
      <c r="DG1676" s="139">
        <f>0.1521*100</f>
        <v>15.21</v>
      </c>
      <c r="DH1676" s="139">
        <v>16.279</v>
      </c>
    </row>
    <row r="1677" spans="1:159" s="139" customFormat="1" x14ac:dyDescent="0.25">
      <c r="A1677" s="139">
        <v>79</v>
      </c>
      <c r="B1677" s="139" t="s">
        <v>191</v>
      </c>
      <c r="C1677" s="139" t="s">
        <v>1711</v>
      </c>
      <c r="D1677" s="139">
        <v>2010</v>
      </c>
      <c r="E1677" s="139">
        <v>2001</v>
      </c>
      <c r="F1677" s="139" t="s">
        <v>1712</v>
      </c>
      <c r="G1677" s="139" t="s">
        <v>1713</v>
      </c>
      <c r="H1677" s="139">
        <v>38.14</v>
      </c>
      <c r="I1677" s="139">
        <v>-97.43</v>
      </c>
      <c r="J1677" s="139">
        <v>450</v>
      </c>
      <c r="L1677" s="139">
        <v>14.4</v>
      </c>
      <c r="N1677" s="139">
        <v>874</v>
      </c>
      <c r="P1677" s="140" t="s">
        <v>1022</v>
      </c>
      <c r="Q1677" s="140" t="s">
        <v>1715</v>
      </c>
      <c r="S1677" s="140" t="s">
        <v>1645</v>
      </c>
      <c r="T1677" s="140" t="s">
        <v>1647</v>
      </c>
      <c r="X1677" s="139" t="s">
        <v>1714</v>
      </c>
      <c r="AC1677" s="139" t="s">
        <v>1814</v>
      </c>
      <c r="AD1677" s="153" t="str">
        <f t="shared" si="283"/>
        <v>Sunn_hemp</v>
      </c>
      <c r="AE1677" s="139" t="s">
        <v>1642</v>
      </c>
      <c r="AM1677" s="139" t="s">
        <v>209</v>
      </c>
      <c r="AN1677" s="139" t="s">
        <v>209</v>
      </c>
      <c r="AO1677" s="139" t="s">
        <v>230</v>
      </c>
      <c r="AP1677" s="139" t="s">
        <v>154</v>
      </c>
      <c r="AQ1677" s="139">
        <v>4</v>
      </c>
      <c r="AR1677" s="139">
        <v>4</v>
      </c>
      <c r="AS1677" s="139" t="s">
        <v>177</v>
      </c>
      <c r="BE1677" s="139">
        <v>1.6975</v>
      </c>
      <c r="BF1677" s="139">
        <v>1.6088</v>
      </c>
      <c r="BH1677" s="139">
        <v>1.3640000000000001</v>
      </c>
      <c r="BI1677" s="139">
        <v>1.8115000000000001</v>
      </c>
      <c r="BJ1677" s="139" t="s">
        <v>1209</v>
      </c>
      <c r="CF1677" s="139">
        <v>115</v>
      </c>
      <c r="CG1677" s="139">
        <v>149</v>
      </c>
      <c r="CH1677" s="139" t="s">
        <v>1718</v>
      </c>
      <c r="CL1677" s="139">
        <v>0.86129999999999995</v>
      </c>
      <c r="CM1677" s="139">
        <v>0.89339999999999997</v>
      </c>
      <c r="CN1677" s="139" t="s">
        <v>1717</v>
      </c>
      <c r="CO1677" s="139">
        <f>(1.12+3.14+5.7)/3</f>
        <v>3.3200000000000003</v>
      </c>
      <c r="CP1677" s="139">
        <f>(1.88+7.73+15.54)/3</f>
        <v>8.3833333333333329</v>
      </c>
      <c r="DD1677" s="139">
        <v>13.8</v>
      </c>
      <c r="DE1677" s="139">
        <v>13.86</v>
      </c>
      <c r="DG1677" s="139">
        <f>0.1568*100</f>
        <v>15.68</v>
      </c>
      <c r="DH1677" s="139">
        <v>17.727</v>
      </c>
      <c r="DS1677" s="139">
        <v>100</v>
      </c>
      <c r="DT1677" s="139">
        <v>620</v>
      </c>
    </row>
    <row r="1678" spans="1:159" s="139" customFormat="1" x14ac:dyDescent="0.25">
      <c r="A1678" s="139">
        <v>79</v>
      </c>
      <c r="B1678" s="139" t="s">
        <v>191</v>
      </c>
      <c r="C1678" s="139" t="s">
        <v>1711</v>
      </c>
      <c r="D1678" s="139">
        <v>2010</v>
      </c>
      <c r="E1678" s="139">
        <v>2001</v>
      </c>
      <c r="F1678" s="139" t="s">
        <v>1712</v>
      </c>
      <c r="G1678" s="139" t="s">
        <v>1713</v>
      </c>
      <c r="H1678" s="139">
        <v>38.14</v>
      </c>
      <c r="I1678" s="139">
        <v>-97.43</v>
      </c>
      <c r="J1678" s="139">
        <v>450</v>
      </c>
      <c r="L1678" s="139">
        <v>14.4</v>
      </c>
      <c r="N1678" s="139">
        <v>874</v>
      </c>
      <c r="P1678" s="140" t="s">
        <v>1022</v>
      </c>
      <c r="Q1678" s="140" t="s">
        <v>1715</v>
      </c>
      <c r="S1678" s="140" t="s">
        <v>1646</v>
      </c>
      <c r="T1678" s="140" t="s">
        <v>1647</v>
      </c>
      <c r="X1678" s="139" t="s">
        <v>1714</v>
      </c>
      <c r="AC1678" s="139" t="s">
        <v>1814</v>
      </c>
      <c r="AD1678" s="153" t="str">
        <f t="shared" si="283"/>
        <v>Sunn_hemp</v>
      </c>
      <c r="AE1678" s="139" t="s">
        <v>1642</v>
      </c>
      <c r="AM1678" s="139" t="s">
        <v>209</v>
      </c>
      <c r="AN1678" s="139" t="s">
        <v>209</v>
      </c>
      <c r="AO1678" s="139" t="s">
        <v>230</v>
      </c>
      <c r="AP1678" s="139" t="s">
        <v>154</v>
      </c>
      <c r="AQ1678" s="139">
        <v>4</v>
      </c>
      <c r="AR1678" s="139">
        <v>4</v>
      </c>
      <c r="AS1678" s="139" t="s">
        <v>177</v>
      </c>
      <c r="BE1678" s="139">
        <v>1.6904999999999999</v>
      </c>
      <c r="BF1678" s="139">
        <v>1.6926000000000001</v>
      </c>
      <c r="BH1678" s="139">
        <v>1.03</v>
      </c>
      <c r="BI1678" s="139">
        <v>1.0511999999999999</v>
      </c>
      <c r="BJ1678" s="139" t="s">
        <v>1209</v>
      </c>
      <c r="CF1678" s="139">
        <v>172</v>
      </c>
      <c r="CG1678" s="139">
        <v>169</v>
      </c>
      <c r="CH1678" s="139" t="s">
        <v>1718</v>
      </c>
      <c r="CL1678" s="139">
        <v>0.86129999999999995</v>
      </c>
      <c r="CM1678" s="139">
        <v>0.77500000000000002</v>
      </c>
      <c r="CN1678" s="139" t="s">
        <v>1717</v>
      </c>
      <c r="DD1678" s="139">
        <v>15.95</v>
      </c>
      <c r="DE1678" s="139">
        <v>15.85</v>
      </c>
      <c r="DG1678" s="139">
        <f>0.1521*100</f>
        <v>15.21</v>
      </c>
      <c r="DH1678" s="139">
        <v>16.788</v>
      </c>
    </row>
    <row r="1679" spans="1:159" s="139" customFormat="1" x14ac:dyDescent="0.25">
      <c r="A1679" s="139">
        <v>79</v>
      </c>
      <c r="B1679" s="139" t="s">
        <v>191</v>
      </c>
      <c r="C1679" s="139" t="s">
        <v>1711</v>
      </c>
      <c r="D1679" s="139">
        <v>2010</v>
      </c>
      <c r="E1679" s="139">
        <v>2001</v>
      </c>
      <c r="F1679" s="139" t="s">
        <v>1712</v>
      </c>
      <c r="G1679" s="139" t="s">
        <v>1713</v>
      </c>
      <c r="H1679" s="139">
        <v>38.14</v>
      </c>
      <c r="I1679" s="139">
        <v>-97.43</v>
      </c>
      <c r="J1679" s="139">
        <v>450</v>
      </c>
      <c r="L1679" s="139">
        <v>14.4</v>
      </c>
      <c r="N1679" s="139">
        <v>874</v>
      </c>
      <c r="P1679" s="140" t="s">
        <v>1022</v>
      </c>
      <c r="Q1679" s="140" t="s">
        <v>1715</v>
      </c>
      <c r="S1679" s="140" t="s">
        <v>1645</v>
      </c>
      <c r="T1679" s="140" t="s">
        <v>1647</v>
      </c>
      <c r="X1679" s="139" t="s">
        <v>1714</v>
      </c>
      <c r="AC1679" s="139" t="s">
        <v>1814</v>
      </c>
      <c r="AD1679" s="153" t="str">
        <f t="shared" si="283"/>
        <v>Sunn_hemp</v>
      </c>
      <c r="AE1679" s="139" t="s">
        <v>1642</v>
      </c>
      <c r="AM1679" s="139" t="s">
        <v>1716</v>
      </c>
      <c r="AN1679" s="139" t="s">
        <v>1716</v>
      </c>
      <c r="AO1679" s="139" t="s">
        <v>230</v>
      </c>
      <c r="AP1679" s="139" t="s">
        <v>154</v>
      </c>
      <c r="AQ1679" s="139">
        <v>4</v>
      </c>
      <c r="AR1679" s="139">
        <v>4</v>
      </c>
      <c r="AS1679" s="139" t="s">
        <v>177</v>
      </c>
      <c r="BE1679" s="139">
        <v>1.6416999999999999</v>
      </c>
      <c r="BF1679" s="139">
        <v>1.6061000000000001</v>
      </c>
      <c r="CF1679" s="139">
        <v>0.42480000000000001</v>
      </c>
      <c r="CG1679" s="139">
        <v>0.76349999999999996</v>
      </c>
      <c r="CH1679" s="139" t="s">
        <v>1719</v>
      </c>
      <c r="DG1679" s="139">
        <v>16.96</v>
      </c>
      <c r="DH1679" s="139">
        <v>17.989999999999998</v>
      </c>
    </row>
    <row r="1680" spans="1:159" s="139" customFormat="1" x14ac:dyDescent="0.25">
      <c r="A1680" s="139">
        <v>79</v>
      </c>
      <c r="B1680" s="139" t="s">
        <v>191</v>
      </c>
      <c r="C1680" s="139" t="s">
        <v>1711</v>
      </c>
      <c r="D1680" s="139">
        <v>2010</v>
      </c>
      <c r="E1680" s="139">
        <v>2001</v>
      </c>
      <c r="F1680" s="139" t="s">
        <v>1712</v>
      </c>
      <c r="G1680" s="139" t="s">
        <v>1713</v>
      </c>
      <c r="H1680" s="139">
        <v>38.14</v>
      </c>
      <c r="I1680" s="139">
        <v>-97.43</v>
      </c>
      <c r="J1680" s="139">
        <v>450</v>
      </c>
      <c r="L1680" s="139">
        <v>14.4</v>
      </c>
      <c r="N1680" s="139">
        <v>874</v>
      </c>
      <c r="P1680" s="140" t="s">
        <v>1022</v>
      </c>
      <c r="Q1680" s="140" t="s">
        <v>1715</v>
      </c>
      <c r="S1680" s="140" t="s">
        <v>1646</v>
      </c>
      <c r="T1680" s="140" t="s">
        <v>1647</v>
      </c>
      <c r="X1680" s="139" t="s">
        <v>1714</v>
      </c>
      <c r="AC1680" s="139" t="s">
        <v>1814</v>
      </c>
      <c r="AD1680" s="153" t="str">
        <f t="shared" si="283"/>
        <v>Sunn_hemp</v>
      </c>
      <c r="AE1680" s="139" t="s">
        <v>1642</v>
      </c>
      <c r="AM1680" s="139" t="s">
        <v>1716</v>
      </c>
      <c r="AN1680" s="139" t="s">
        <v>1716</v>
      </c>
      <c r="AO1680" s="139" t="s">
        <v>230</v>
      </c>
      <c r="AP1680" s="139" t="s">
        <v>154</v>
      </c>
      <c r="AQ1680" s="139">
        <v>4</v>
      </c>
      <c r="AR1680" s="139">
        <v>4</v>
      </c>
      <c r="AS1680" s="139" t="s">
        <v>177</v>
      </c>
      <c r="BE1680" s="139">
        <v>1.7105999999999999</v>
      </c>
      <c r="BF1680" s="139">
        <v>1.6934</v>
      </c>
      <c r="CF1680" s="139">
        <v>0.35549999999999998</v>
      </c>
      <c r="CG1680" s="139">
        <v>0.43369999999999997</v>
      </c>
      <c r="CH1680" s="139" t="s">
        <v>1719</v>
      </c>
      <c r="DG1680" s="139">
        <v>16.12</v>
      </c>
      <c r="DH1680" s="139">
        <v>16.21</v>
      </c>
    </row>
    <row r="1681" spans="1:125" s="139" customFormat="1" x14ac:dyDescent="0.25">
      <c r="A1681" s="139">
        <v>79</v>
      </c>
      <c r="B1681" s="139" t="s">
        <v>191</v>
      </c>
      <c r="C1681" s="139" t="s">
        <v>1711</v>
      </c>
      <c r="D1681" s="139">
        <v>2010</v>
      </c>
      <c r="E1681" s="139">
        <v>2001</v>
      </c>
      <c r="F1681" s="139" t="s">
        <v>1712</v>
      </c>
      <c r="G1681" s="139" t="s">
        <v>1713</v>
      </c>
      <c r="H1681" s="139">
        <v>38.14</v>
      </c>
      <c r="I1681" s="139">
        <v>-97.43</v>
      </c>
      <c r="J1681" s="139">
        <v>450</v>
      </c>
      <c r="L1681" s="139">
        <v>14.4</v>
      </c>
      <c r="N1681" s="139">
        <v>874</v>
      </c>
      <c r="P1681" s="140" t="s">
        <v>1022</v>
      </c>
      <c r="Q1681" s="140" t="s">
        <v>1715</v>
      </c>
      <c r="S1681" s="140" t="s">
        <v>1645</v>
      </c>
      <c r="T1681" s="140" t="s">
        <v>1647</v>
      </c>
      <c r="X1681" s="139" t="s">
        <v>1714</v>
      </c>
      <c r="AC1681" s="139" t="s">
        <v>1828</v>
      </c>
      <c r="AD1681" s="153" t="str">
        <f t="shared" si="283"/>
        <v>Hairy_vetch</v>
      </c>
      <c r="AE1681" s="139" t="s">
        <v>1642</v>
      </c>
      <c r="AM1681" s="139" t="s">
        <v>1716</v>
      </c>
      <c r="AN1681" s="139" t="s">
        <v>1716</v>
      </c>
      <c r="AO1681" s="139" t="s">
        <v>230</v>
      </c>
      <c r="AP1681" s="139" t="s">
        <v>154</v>
      </c>
      <c r="AQ1681" s="139">
        <v>4</v>
      </c>
      <c r="AR1681" s="139">
        <v>4</v>
      </c>
      <c r="AS1681" s="139" t="s">
        <v>177</v>
      </c>
      <c r="BE1681" s="139">
        <v>1.6416999999999999</v>
      </c>
      <c r="BF1681" s="139">
        <v>1.6191</v>
      </c>
      <c r="CF1681" s="139">
        <v>0.42480000000000001</v>
      </c>
      <c r="CG1681" s="139">
        <v>0.75839999999999996</v>
      </c>
      <c r="CH1681" s="139" t="s">
        <v>1719</v>
      </c>
      <c r="DG1681" s="139">
        <v>16.96</v>
      </c>
      <c r="DH1681" s="139">
        <v>17.73</v>
      </c>
    </row>
    <row r="1682" spans="1:125" s="139" customFormat="1" x14ac:dyDescent="0.25">
      <c r="A1682" s="139">
        <v>79</v>
      </c>
      <c r="B1682" s="139" t="s">
        <v>191</v>
      </c>
      <c r="C1682" s="139" t="s">
        <v>1711</v>
      </c>
      <c r="D1682" s="139">
        <v>2010</v>
      </c>
      <c r="E1682" s="139">
        <v>2001</v>
      </c>
      <c r="F1682" s="139" t="s">
        <v>1712</v>
      </c>
      <c r="G1682" s="139" t="s">
        <v>1713</v>
      </c>
      <c r="H1682" s="139">
        <v>38.14</v>
      </c>
      <c r="I1682" s="139">
        <v>-97.43</v>
      </c>
      <c r="J1682" s="139">
        <v>450</v>
      </c>
      <c r="L1682" s="139">
        <v>14.4</v>
      </c>
      <c r="N1682" s="139">
        <v>874</v>
      </c>
      <c r="P1682" s="140" t="s">
        <v>1022</v>
      </c>
      <c r="Q1682" s="140" t="s">
        <v>1715</v>
      </c>
      <c r="S1682" s="140" t="s">
        <v>1646</v>
      </c>
      <c r="T1682" s="140" t="s">
        <v>1647</v>
      </c>
      <c r="X1682" s="139" t="s">
        <v>1714</v>
      </c>
      <c r="AC1682" s="139" t="s">
        <v>1828</v>
      </c>
      <c r="AD1682" s="153" t="str">
        <f t="shared" si="283"/>
        <v>Hairy_vetch</v>
      </c>
      <c r="AE1682" s="139" t="s">
        <v>1642</v>
      </c>
      <c r="AM1682" s="139" t="s">
        <v>1716</v>
      </c>
      <c r="AN1682" s="139" t="s">
        <v>1716</v>
      </c>
      <c r="AO1682" s="139" t="s">
        <v>230</v>
      </c>
      <c r="AP1682" s="139" t="s">
        <v>154</v>
      </c>
      <c r="AQ1682" s="139">
        <v>4</v>
      </c>
      <c r="AR1682" s="139">
        <v>4</v>
      </c>
      <c r="AS1682" s="139" t="s">
        <v>177</v>
      </c>
      <c r="BE1682" s="139">
        <v>1.7105999999999999</v>
      </c>
      <c r="BF1682" s="139">
        <v>1.698</v>
      </c>
      <c r="CF1682" s="139">
        <v>0.35549999999999998</v>
      </c>
      <c r="CG1682" s="139">
        <v>0.37059999999999998</v>
      </c>
      <c r="CH1682" s="139" t="s">
        <v>1719</v>
      </c>
      <c r="DG1682" s="139">
        <v>16.12</v>
      </c>
      <c r="DH1682" s="139">
        <v>16.68</v>
      </c>
    </row>
    <row r="1683" spans="1:125" s="35" customFormat="1" x14ac:dyDescent="0.25">
      <c r="A1683" s="35">
        <v>80</v>
      </c>
      <c r="B1683" s="35" t="s">
        <v>1720</v>
      </c>
      <c r="C1683" s="35" t="s">
        <v>1721</v>
      </c>
      <c r="D1683" s="35">
        <v>1950</v>
      </c>
      <c r="E1683" s="35">
        <v>1943</v>
      </c>
      <c r="F1683" s="35" t="s">
        <v>363</v>
      </c>
      <c r="G1683" s="35" t="s">
        <v>1722</v>
      </c>
      <c r="H1683" s="35">
        <v>40.479999999999997</v>
      </c>
      <c r="I1683" s="35">
        <v>-74.44</v>
      </c>
      <c r="J1683" s="35">
        <v>40.5</v>
      </c>
      <c r="P1683" s="54" t="s">
        <v>183</v>
      </c>
      <c r="Q1683" s="54"/>
      <c r="R1683" s="54"/>
      <c r="S1683" s="54" t="s">
        <v>1640</v>
      </c>
      <c r="T1683" s="54" t="s">
        <v>1640</v>
      </c>
      <c r="AC1683" s="35" t="s">
        <v>166</v>
      </c>
      <c r="AD1683" s="153" t="str">
        <f t="shared" si="283"/>
        <v>Rye</v>
      </c>
      <c r="AE1683" s="35" t="s">
        <v>1723</v>
      </c>
      <c r="AP1683" s="35" t="s">
        <v>208</v>
      </c>
      <c r="AQ1683" s="35">
        <v>4</v>
      </c>
      <c r="AR1683" s="35">
        <v>4</v>
      </c>
      <c r="AS1683" s="35" t="s">
        <v>177</v>
      </c>
      <c r="AX1683" s="35" t="s">
        <v>1077</v>
      </c>
      <c r="CU1683" s="35">
        <v>503.4</v>
      </c>
      <c r="CV1683" s="35">
        <v>53.84</v>
      </c>
      <c r="CX1683" s="35">
        <v>9.34</v>
      </c>
      <c r="CY1683" s="35">
        <v>1.8</v>
      </c>
      <c r="CZ1683" s="35" t="s">
        <v>1728</v>
      </c>
    </row>
    <row r="1684" spans="1:125" s="35" customFormat="1" x14ac:dyDescent="0.25">
      <c r="A1684" s="35">
        <v>80</v>
      </c>
      <c r="B1684" s="35" t="s">
        <v>1720</v>
      </c>
      <c r="C1684" s="35" t="s">
        <v>1721</v>
      </c>
      <c r="D1684" s="35">
        <v>1950</v>
      </c>
      <c r="E1684" s="35">
        <v>1943</v>
      </c>
      <c r="F1684" s="35" t="s">
        <v>363</v>
      </c>
      <c r="G1684" s="35" t="s">
        <v>1722</v>
      </c>
      <c r="H1684" s="35">
        <v>40.479999999999997</v>
      </c>
      <c r="I1684" s="35">
        <v>-74.44</v>
      </c>
      <c r="J1684" s="35">
        <v>40.5</v>
      </c>
      <c r="P1684" s="54" t="s">
        <v>183</v>
      </c>
      <c r="Q1684" s="54"/>
      <c r="R1684" s="54"/>
      <c r="S1684" s="54" t="s">
        <v>1640</v>
      </c>
      <c r="T1684" s="54" t="s">
        <v>1640</v>
      </c>
      <c r="AC1684" s="35" t="s">
        <v>166</v>
      </c>
      <c r="AD1684" s="153" t="str">
        <f t="shared" si="283"/>
        <v>Rye</v>
      </c>
      <c r="AE1684" s="35" t="s">
        <v>1723</v>
      </c>
      <c r="AP1684" s="35" t="s">
        <v>208</v>
      </c>
      <c r="AQ1684" s="35">
        <v>4</v>
      </c>
      <c r="AR1684" s="35">
        <v>4</v>
      </c>
      <c r="AS1684" s="35" t="s">
        <v>177</v>
      </c>
      <c r="AX1684" s="35" t="s">
        <v>1199</v>
      </c>
      <c r="CU1684" s="35">
        <v>121.6</v>
      </c>
      <c r="CV1684" s="35">
        <v>39.74</v>
      </c>
      <c r="CX1684" s="35">
        <v>10.23</v>
      </c>
      <c r="CY1684" s="35">
        <v>11.43</v>
      </c>
      <c r="CZ1684" s="35" t="s">
        <v>1728</v>
      </c>
    </row>
    <row r="1685" spans="1:125" s="35" customFormat="1" x14ac:dyDescent="0.25">
      <c r="A1685" s="35">
        <v>80</v>
      </c>
      <c r="B1685" s="35" t="s">
        <v>1720</v>
      </c>
      <c r="C1685" s="35" t="s">
        <v>1721</v>
      </c>
      <c r="D1685" s="35">
        <v>1950</v>
      </c>
      <c r="E1685" s="35">
        <v>1943</v>
      </c>
      <c r="F1685" s="35" t="s">
        <v>363</v>
      </c>
      <c r="G1685" s="35" t="s">
        <v>1722</v>
      </c>
      <c r="H1685" s="35">
        <v>40.479999999999997</v>
      </c>
      <c r="I1685" s="35">
        <v>-74.44</v>
      </c>
      <c r="J1685" s="35">
        <v>40.5</v>
      </c>
      <c r="P1685" s="54" t="s">
        <v>183</v>
      </c>
      <c r="Q1685" s="54"/>
      <c r="R1685" s="54"/>
      <c r="S1685" s="54" t="s">
        <v>1640</v>
      </c>
      <c r="T1685" s="54" t="s">
        <v>1640</v>
      </c>
      <c r="AC1685" s="35" t="s">
        <v>166</v>
      </c>
      <c r="AD1685" s="153" t="str">
        <f t="shared" si="283"/>
        <v>Rye</v>
      </c>
      <c r="AE1685" s="35" t="s">
        <v>1723</v>
      </c>
      <c r="AP1685" s="35" t="s">
        <v>208</v>
      </c>
      <c r="AQ1685" s="35">
        <v>4</v>
      </c>
      <c r="AR1685" s="35">
        <v>4</v>
      </c>
      <c r="AS1685" s="35" t="s">
        <v>177</v>
      </c>
      <c r="AX1685" s="35" t="s">
        <v>1200</v>
      </c>
      <c r="CU1685" s="35">
        <v>311.7</v>
      </c>
      <c r="CV1685" s="35">
        <v>39.21</v>
      </c>
      <c r="CX1685" s="35">
        <v>4.49</v>
      </c>
      <c r="CY1685" s="35">
        <v>2.0699999999999998</v>
      </c>
      <c r="CZ1685" s="35" t="s">
        <v>1728</v>
      </c>
    </row>
    <row r="1686" spans="1:125" s="35" customFormat="1" x14ac:dyDescent="0.25">
      <c r="A1686" s="35">
        <v>80</v>
      </c>
      <c r="B1686" s="35" t="s">
        <v>1720</v>
      </c>
      <c r="C1686" s="35" t="s">
        <v>1721</v>
      </c>
      <c r="D1686" s="35">
        <v>1950</v>
      </c>
      <c r="E1686" s="35">
        <v>1943</v>
      </c>
      <c r="F1686" s="35" t="s">
        <v>363</v>
      </c>
      <c r="G1686" s="35" t="s">
        <v>1722</v>
      </c>
      <c r="H1686" s="35">
        <v>40.479999999999997</v>
      </c>
      <c r="I1686" s="35">
        <v>-74.44</v>
      </c>
      <c r="J1686" s="35">
        <v>40.5</v>
      </c>
      <c r="P1686" s="54" t="s">
        <v>183</v>
      </c>
      <c r="Q1686" s="54"/>
      <c r="R1686" s="54"/>
      <c r="S1686" s="54" t="s">
        <v>1640</v>
      </c>
      <c r="T1686" s="54" t="s">
        <v>1640</v>
      </c>
      <c r="AC1686" s="35" t="s">
        <v>166</v>
      </c>
      <c r="AD1686" s="153" t="str">
        <f t="shared" si="283"/>
        <v>Rye</v>
      </c>
      <c r="AE1686" s="35" t="s">
        <v>1723</v>
      </c>
      <c r="AP1686" s="35" t="s">
        <v>208</v>
      </c>
      <c r="AQ1686" s="35">
        <v>4</v>
      </c>
      <c r="AR1686" s="35">
        <v>4</v>
      </c>
      <c r="AS1686" s="35" t="s">
        <v>177</v>
      </c>
      <c r="AX1686" s="35" t="s">
        <v>928</v>
      </c>
      <c r="CU1686" s="35">
        <v>515.45000000000005</v>
      </c>
      <c r="CV1686" s="35">
        <v>38.659999999999997</v>
      </c>
      <c r="CX1686" s="35">
        <v>3.88</v>
      </c>
      <c r="CY1686" s="35">
        <v>1.46</v>
      </c>
      <c r="CZ1686" s="35" t="s">
        <v>1728</v>
      </c>
    </row>
    <row r="1687" spans="1:125" s="35" customFormat="1" x14ac:dyDescent="0.25">
      <c r="A1687" s="35">
        <v>80</v>
      </c>
      <c r="B1687" s="35" t="s">
        <v>1720</v>
      </c>
      <c r="C1687" s="35" t="s">
        <v>1721</v>
      </c>
      <c r="D1687" s="35">
        <v>1950</v>
      </c>
      <c r="E1687" s="35">
        <v>1943</v>
      </c>
      <c r="F1687" s="35" t="s">
        <v>363</v>
      </c>
      <c r="G1687" s="35" t="s">
        <v>1722</v>
      </c>
      <c r="H1687" s="35">
        <v>40.479999999999997</v>
      </c>
      <c r="I1687" s="35">
        <v>-74.44</v>
      </c>
      <c r="J1687" s="35">
        <v>40.5</v>
      </c>
      <c r="P1687" s="54" t="s">
        <v>183</v>
      </c>
      <c r="Q1687" s="54"/>
      <c r="R1687" s="54"/>
      <c r="S1687" s="54" t="s">
        <v>1640</v>
      </c>
      <c r="T1687" s="54" t="s">
        <v>1640</v>
      </c>
      <c r="AC1687" s="35" t="s">
        <v>166</v>
      </c>
      <c r="AD1687" s="153" t="str">
        <f t="shared" si="283"/>
        <v>Rye</v>
      </c>
      <c r="AE1687" s="35" t="s">
        <v>1723</v>
      </c>
      <c r="AP1687" s="35" t="s">
        <v>208</v>
      </c>
      <c r="AQ1687" s="35">
        <v>4</v>
      </c>
      <c r="AR1687" s="35">
        <v>4</v>
      </c>
      <c r="AS1687" s="35" t="s">
        <v>177</v>
      </c>
      <c r="AX1687" s="35" t="s">
        <v>257</v>
      </c>
      <c r="CU1687" s="35">
        <v>474.09</v>
      </c>
      <c r="CV1687" s="35">
        <v>147.1</v>
      </c>
      <c r="CX1687" s="35">
        <v>4.47</v>
      </c>
      <c r="CY1687" s="35">
        <v>2.0499999999999998</v>
      </c>
      <c r="CZ1687" s="35" t="s">
        <v>1728</v>
      </c>
    </row>
    <row r="1688" spans="1:125" s="35" customFormat="1" x14ac:dyDescent="0.25">
      <c r="A1688" s="35">
        <v>80</v>
      </c>
      <c r="B1688" s="35" t="s">
        <v>1720</v>
      </c>
      <c r="C1688" s="35" t="s">
        <v>1721</v>
      </c>
      <c r="D1688" s="35">
        <v>1950</v>
      </c>
      <c r="E1688" s="35">
        <v>1943</v>
      </c>
      <c r="F1688" s="35" t="s">
        <v>363</v>
      </c>
      <c r="G1688" s="35" t="s">
        <v>1722</v>
      </c>
      <c r="H1688" s="35">
        <v>40.479999999999997</v>
      </c>
      <c r="I1688" s="35">
        <v>-74.44</v>
      </c>
      <c r="J1688" s="35">
        <v>40.5</v>
      </c>
      <c r="P1688" s="54" t="s">
        <v>183</v>
      </c>
      <c r="Q1688" s="54"/>
      <c r="R1688" s="54"/>
      <c r="S1688" s="54" t="s">
        <v>1640</v>
      </c>
      <c r="T1688" s="54" t="s">
        <v>1640</v>
      </c>
      <c r="AC1688" s="35" t="s">
        <v>166</v>
      </c>
      <c r="AD1688" s="153" t="str">
        <f t="shared" si="283"/>
        <v>Rye</v>
      </c>
      <c r="AE1688" s="35" t="s">
        <v>1723</v>
      </c>
      <c r="AP1688" s="35" t="s">
        <v>208</v>
      </c>
      <c r="AQ1688" s="35">
        <v>4</v>
      </c>
      <c r="AR1688" s="35">
        <v>4</v>
      </c>
      <c r="AS1688" s="35" t="s">
        <v>177</v>
      </c>
      <c r="AX1688" s="35" t="s">
        <v>1078</v>
      </c>
      <c r="CU1688" s="35">
        <v>1467.26</v>
      </c>
      <c r="CV1688" s="35">
        <v>813.8</v>
      </c>
      <c r="CX1688" s="35">
        <v>12.29</v>
      </c>
      <c r="CY1688" s="35">
        <v>7.16</v>
      </c>
      <c r="CZ1688" s="35" t="s">
        <v>1728</v>
      </c>
    </row>
    <row r="1689" spans="1:125" s="35" customFormat="1" x14ac:dyDescent="0.25">
      <c r="A1689" s="35">
        <v>80</v>
      </c>
      <c r="B1689" s="35" t="s">
        <v>1720</v>
      </c>
      <c r="C1689" s="35" t="s">
        <v>1721</v>
      </c>
      <c r="D1689" s="35">
        <v>1950</v>
      </c>
      <c r="E1689" s="35">
        <v>1943</v>
      </c>
      <c r="F1689" s="35" t="s">
        <v>363</v>
      </c>
      <c r="G1689" s="35" t="s">
        <v>1722</v>
      </c>
      <c r="H1689" s="35">
        <v>40.479999999999997</v>
      </c>
      <c r="I1689" s="35">
        <v>-74.44</v>
      </c>
      <c r="J1689" s="35">
        <v>40.5</v>
      </c>
      <c r="P1689" s="54" t="s">
        <v>183</v>
      </c>
      <c r="Q1689" s="54"/>
      <c r="R1689" s="54"/>
      <c r="S1689" s="54" t="s">
        <v>1640</v>
      </c>
      <c r="T1689" s="54" t="s">
        <v>1640</v>
      </c>
      <c r="AC1689" s="35" t="s">
        <v>166</v>
      </c>
      <c r="AD1689" s="153" t="str">
        <f t="shared" si="283"/>
        <v>Rye</v>
      </c>
      <c r="AE1689" s="35" t="s">
        <v>1723</v>
      </c>
      <c r="AP1689" s="35" t="s">
        <v>208</v>
      </c>
      <c r="AQ1689" s="35">
        <v>4</v>
      </c>
      <c r="AR1689" s="35">
        <v>4</v>
      </c>
      <c r="AS1689" s="35" t="s">
        <v>177</v>
      </c>
      <c r="AX1689" s="35" t="s">
        <v>1296</v>
      </c>
      <c r="CU1689" s="35">
        <v>2147.9499999999998</v>
      </c>
      <c r="CV1689" s="35">
        <v>1112.9000000000001</v>
      </c>
      <c r="CX1689" s="35">
        <v>28.26</v>
      </c>
      <c r="CY1689" s="35">
        <v>21.62</v>
      </c>
      <c r="CZ1689" s="35" t="s">
        <v>1728</v>
      </c>
    </row>
    <row r="1690" spans="1:125" s="35" customFormat="1" x14ac:dyDescent="0.25">
      <c r="A1690" s="35">
        <v>80</v>
      </c>
      <c r="B1690" s="35" t="s">
        <v>1720</v>
      </c>
      <c r="C1690" s="35" t="s">
        <v>1721</v>
      </c>
      <c r="D1690" s="35">
        <v>1950</v>
      </c>
      <c r="E1690" s="35">
        <v>1943</v>
      </c>
      <c r="F1690" s="35" t="s">
        <v>363</v>
      </c>
      <c r="G1690" s="35" t="s">
        <v>1722</v>
      </c>
      <c r="H1690" s="35">
        <v>40.479999999999997</v>
      </c>
      <c r="I1690" s="35">
        <v>-74.44</v>
      </c>
      <c r="J1690" s="35">
        <v>40.5</v>
      </c>
      <c r="P1690" s="54" t="s">
        <v>183</v>
      </c>
      <c r="Q1690" s="54"/>
      <c r="R1690" s="54"/>
      <c r="S1690" s="54" t="s">
        <v>1640</v>
      </c>
      <c r="T1690" s="54" t="s">
        <v>1640</v>
      </c>
      <c r="AC1690" s="35" t="s">
        <v>166</v>
      </c>
      <c r="AD1690" s="153" t="str">
        <f t="shared" si="283"/>
        <v>Rye</v>
      </c>
      <c r="AE1690" s="35" t="s">
        <v>1723</v>
      </c>
      <c r="AP1690" s="35" t="s">
        <v>208</v>
      </c>
      <c r="AQ1690" s="35">
        <v>4</v>
      </c>
      <c r="AR1690" s="35">
        <v>4</v>
      </c>
      <c r="AS1690" s="35" t="s">
        <v>177</v>
      </c>
      <c r="AX1690" s="35" t="s">
        <v>1081</v>
      </c>
      <c r="CU1690" s="35">
        <v>962.74</v>
      </c>
      <c r="CV1690" s="35">
        <v>567.65</v>
      </c>
      <c r="CX1690" s="35">
        <v>13.17</v>
      </c>
      <c r="CY1690" s="35">
        <v>8.65</v>
      </c>
      <c r="CZ1690" s="35" t="s">
        <v>1728</v>
      </c>
    </row>
    <row r="1691" spans="1:125" s="35" customFormat="1" x14ac:dyDescent="0.25">
      <c r="A1691" s="35">
        <v>80</v>
      </c>
      <c r="B1691" s="35" t="s">
        <v>1720</v>
      </c>
      <c r="C1691" s="35" t="s">
        <v>1721</v>
      </c>
      <c r="D1691" s="35">
        <v>1950</v>
      </c>
      <c r="E1691" s="35">
        <v>1943</v>
      </c>
      <c r="F1691" s="35" t="s">
        <v>363</v>
      </c>
      <c r="G1691" s="35" t="s">
        <v>1722</v>
      </c>
      <c r="H1691" s="35">
        <v>40.479999999999997</v>
      </c>
      <c r="I1691" s="35">
        <v>-74.44</v>
      </c>
      <c r="J1691" s="35">
        <v>40.5</v>
      </c>
      <c r="P1691" s="54" t="s">
        <v>183</v>
      </c>
      <c r="Q1691" s="54"/>
      <c r="R1691" s="54"/>
      <c r="S1691" s="54" t="s">
        <v>1640</v>
      </c>
      <c r="T1691" s="54" t="s">
        <v>1640</v>
      </c>
      <c r="AC1691" s="35" t="s">
        <v>166</v>
      </c>
      <c r="AD1691" s="153" t="str">
        <f t="shared" si="283"/>
        <v>Rye</v>
      </c>
      <c r="AE1691" s="35" t="s">
        <v>1723</v>
      </c>
      <c r="AP1691" s="35" t="s">
        <v>208</v>
      </c>
      <c r="AQ1691" s="35">
        <v>4</v>
      </c>
      <c r="AR1691" s="35">
        <v>4</v>
      </c>
      <c r="AS1691" s="35" t="s">
        <v>177</v>
      </c>
      <c r="AX1691" s="35" t="s">
        <v>1079</v>
      </c>
      <c r="CU1691" s="35">
        <v>757.93</v>
      </c>
      <c r="CV1691" s="35">
        <v>349.23</v>
      </c>
      <c r="CX1691" s="35">
        <v>13.77</v>
      </c>
      <c r="CY1691" s="35">
        <v>7.73</v>
      </c>
      <c r="CZ1691" s="35" t="s">
        <v>1728</v>
      </c>
    </row>
    <row r="1692" spans="1:125" s="35" customFormat="1" x14ac:dyDescent="0.25">
      <c r="A1692" s="35">
        <v>80</v>
      </c>
      <c r="B1692" s="35" t="s">
        <v>1720</v>
      </c>
      <c r="C1692" s="35" t="s">
        <v>1721</v>
      </c>
      <c r="D1692" s="35">
        <v>1950</v>
      </c>
      <c r="E1692" s="35">
        <v>1943</v>
      </c>
      <c r="F1692" s="35" t="s">
        <v>363</v>
      </c>
      <c r="G1692" s="35" t="s">
        <v>1722</v>
      </c>
      <c r="H1692" s="35">
        <v>40.479999999999997</v>
      </c>
      <c r="I1692" s="35">
        <v>-74.44</v>
      </c>
      <c r="J1692" s="35">
        <v>40.5</v>
      </c>
      <c r="P1692" s="54" t="s">
        <v>183</v>
      </c>
      <c r="Q1692" s="54"/>
      <c r="R1692" s="54"/>
      <c r="S1692" s="54" t="s">
        <v>1640</v>
      </c>
      <c r="T1692" s="54" t="s">
        <v>1640</v>
      </c>
      <c r="AC1692" s="35" t="s">
        <v>166</v>
      </c>
      <c r="AD1692" s="153" t="str">
        <f t="shared" si="283"/>
        <v>Rye</v>
      </c>
      <c r="AE1692" s="35" t="s">
        <v>1723</v>
      </c>
      <c r="AP1692" s="35" t="s">
        <v>208</v>
      </c>
      <c r="AQ1692" s="35">
        <v>4</v>
      </c>
      <c r="AR1692" s="35">
        <v>4</v>
      </c>
      <c r="AS1692" s="35" t="s">
        <v>177</v>
      </c>
      <c r="AX1692" s="35" t="s">
        <v>1080</v>
      </c>
      <c r="CU1692" s="35">
        <v>811.88</v>
      </c>
      <c r="CV1692" s="35">
        <v>76.38</v>
      </c>
      <c r="CX1692" s="35">
        <v>10.44</v>
      </c>
      <c r="CY1692" s="35">
        <v>3.5</v>
      </c>
      <c r="CZ1692" s="35" t="s">
        <v>1728</v>
      </c>
    </row>
    <row r="1693" spans="1:125" s="35" customFormat="1" x14ac:dyDescent="0.25">
      <c r="A1693" s="35">
        <v>80</v>
      </c>
      <c r="B1693" s="35" t="s">
        <v>1720</v>
      </c>
      <c r="C1693" s="35" t="s">
        <v>1721</v>
      </c>
      <c r="D1693" s="35">
        <v>1950</v>
      </c>
      <c r="E1693" s="35">
        <v>1943</v>
      </c>
      <c r="F1693" s="35" t="s">
        <v>363</v>
      </c>
      <c r="G1693" s="35" t="s">
        <v>1722</v>
      </c>
      <c r="H1693" s="35">
        <v>40.479999999999997</v>
      </c>
      <c r="I1693" s="35">
        <v>-74.44</v>
      </c>
      <c r="J1693" s="35">
        <v>40.5</v>
      </c>
      <c r="P1693" s="54" t="s">
        <v>183</v>
      </c>
      <c r="Q1693" s="54"/>
      <c r="R1693" s="54"/>
      <c r="S1693" s="54" t="s">
        <v>1640</v>
      </c>
      <c r="T1693" s="54" t="s">
        <v>1640</v>
      </c>
      <c r="AC1693" s="35" t="s">
        <v>166</v>
      </c>
      <c r="AD1693" s="153" t="str">
        <f t="shared" si="283"/>
        <v>Rye</v>
      </c>
      <c r="AE1693" s="35" t="s">
        <v>1723</v>
      </c>
      <c r="AP1693" s="35" t="s">
        <v>208</v>
      </c>
      <c r="AQ1693" s="35">
        <v>4</v>
      </c>
      <c r="AR1693" s="35">
        <v>4</v>
      </c>
      <c r="AS1693" s="35" t="s">
        <v>177</v>
      </c>
      <c r="AX1693" s="35" t="s">
        <v>929</v>
      </c>
      <c r="CU1693" s="35">
        <v>702.4</v>
      </c>
      <c r="CV1693" s="35">
        <v>62.23</v>
      </c>
      <c r="CX1693" s="35">
        <v>14.95</v>
      </c>
      <c r="CY1693" s="35">
        <v>1.38</v>
      </c>
      <c r="CZ1693" s="35" t="s">
        <v>1728</v>
      </c>
    </row>
    <row r="1694" spans="1:125" s="35" customFormat="1" x14ac:dyDescent="0.25">
      <c r="A1694" s="35">
        <v>80</v>
      </c>
      <c r="B1694" s="35" t="s">
        <v>1720</v>
      </c>
      <c r="C1694" s="35" t="s">
        <v>1721</v>
      </c>
      <c r="D1694" s="35">
        <v>1950</v>
      </c>
      <c r="E1694" s="35">
        <v>1943</v>
      </c>
      <c r="F1694" s="35" t="s">
        <v>363</v>
      </c>
      <c r="G1694" s="35" t="s">
        <v>1722</v>
      </c>
      <c r="H1694" s="35">
        <v>40.479999999999997</v>
      </c>
      <c r="I1694" s="35">
        <v>-74.44</v>
      </c>
      <c r="J1694" s="35">
        <v>40.5</v>
      </c>
      <c r="P1694" s="54" t="s">
        <v>183</v>
      </c>
      <c r="Q1694" s="54"/>
      <c r="R1694" s="54"/>
      <c r="S1694" s="54" t="s">
        <v>1640</v>
      </c>
      <c r="T1694" s="54" t="s">
        <v>1640</v>
      </c>
      <c r="AC1694" s="35" t="s">
        <v>166</v>
      </c>
      <c r="AD1694" s="153" t="str">
        <f t="shared" si="283"/>
        <v>Rye</v>
      </c>
      <c r="AE1694" s="35" t="s">
        <v>1723</v>
      </c>
      <c r="AP1694" s="35" t="s">
        <v>208</v>
      </c>
      <c r="AQ1694" s="35">
        <v>4</v>
      </c>
      <c r="AR1694" s="35">
        <v>4</v>
      </c>
      <c r="AS1694" s="35" t="s">
        <v>177</v>
      </c>
      <c r="AX1694" s="35" t="s">
        <v>1201</v>
      </c>
      <c r="CU1694" s="35">
        <v>48.3</v>
      </c>
      <c r="CV1694" s="35">
        <v>6</v>
      </c>
      <c r="CX1694" s="35">
        <v>1.67</v>
      </c>
      <c r="CY1694" s="35">
        <v>0.14000000000000001</v>
      </c>
      <c r="CZ1694" s="35" t="s">
        <v>1728</v>
      </c>
    </row>
    <row r="1695" spans="1:125" s="43" customFormat="1" x14ac:dyDescent="0.25">
      <c r="A1695" s="43">
        <v>81</v>
      </c>
      <c r="B1695" s="43" t="s">
        <v>1729</v>
      </c>
      <c r="C1695" s="43" t="s">
        <v>1730</v>
      </c>
      <c r="D1695" s="43">
        <v>2016</v>
      </c>
      <c r="E1695" s="43">
        <v>1971</v>
      </c>
      <c r="F1695" s="43" t="s">
        <v>1731</v>
      </c>
      <c r="H1695" s="43">
        <v>38.94</v>
      </c>
      <c r="I1695" s="43">
        <v>-92.33</v>
      </c>
      <c r="J1695" s="43">
        <v>225</v>
      </c>
      <c r="P1695" s="61" t="s">
        <v>179</v>
      </c>
      <c r="Q1695" s="61"/>
      <c r="R1695" s="61"/>
      <c r="S1695" s="61" t="s">
        <v>1653</v>
      </c>
      <c r="T1695" s="61" t="s">
        <v>1653</v>
      </c>
      <c r="X1695" s="43" t="s">
        <v>168</v>
      </c>
      <c r="AC1695" s="43" t="s">
        <v>501</v>
      </c>
      <c r="AD1695" s="153" t="str">
        <f t="shared" si="283"/>
        <v>Clover</v>
      </c>
      <c r="AE1695" s="43" t="s">
        <v>1636</v>
      </c>
      <c r="AP1695" s="43" t="s">
        <v>208</v>
      </c>
      <c r="AS1695" s="43" t="s">
        <v>177</v>
      </c>
      <c r="AX1695" s="43" t="s">
        <v>1733</v>
      </c>
      <c r="DS1695" s="43">
        <v>1.5</v>
      </c>
      <c r="DT1695" s="43">
        <v>2.4300000000000002</v>
      </c>
      <c r="DU1695" s="43" t="s">
        <v>1734</v>
      </c>
    </row>
    <row r="1696" spans="1:125" s="43" customFormat="1" x14ac:dyDescent="0.25">
      <c r="A1696" s="43">
        <v>81</v>
      </c>
      <c r="B1696" s="43" t="s">
        <v>1729</v>
      </c>
      <c r="C1696" s="43" t="s">
        <v>1730</v>
      </c>
      <c r="D1696" s="43">
        <v>2016</v>
      </c>
      <c r="E1696" s="43">
        <v>1971</v>
      </c>
      <c r="F1696" s="43" t="s">
        <v>1731</v>
      </c>
      <c r="H1696" s="43">
        <v>38.94</v>
      </c>
      <c r="I1696" s="43">
        <v>-92.33</v>
      </c>
      <c r="J1696" s="43">
        <v>225</v>
      </c>
      <c r="P1696" s="61" t="s">
        <v>180</v>
      </c>
      <c r="Q1696" s="61"/>
      <c r="R1696" s="61"/>
      <c r="S1696" s="61" t="s">
        <v>1653</v>
      </c>
      <c r="T1696" s="61" t="s">
        <v>1653</v>
      </c>
      <c r="X1696" s="43" t="s">
        <v>168</v>
      </c>
      <c r="AC1696" s="43" t="s">
        <v>501</v>
      </c>
      <c r="AD1696" s="153" t="str">
        <f t="shared" si="283"/>
        <v>Clover</v>
      </c>
      <c r="AE1696" s="43" t="s">
        <v>1732</v>
      </c>
      <c r="AP1696" s="43" t="s">
        <v>208</v>
      </c>
      <c r="AS1696" s="43" t="s">
        <v>177</v>
      </c>
      <c r="AX1696" s="43" t="s">
        <v>1733</v>
      </c>
      <c r="DS1696" s="43">
        <v>1.97</v>
      </c>
      <c r="DT1696" s="43">
        <v>2.4300000000000002</v>
      </c>
      <c r="DU1696" s="43" t="s">
        <v>1734</v>
      </c>
    </row>
    <row r="1697" spans="1:125" s="43" customFormat="1" x14ac:dyDescent="0.25">
      <c r="A1697" s="43">
        <v>81</v>
      </c>
      <c r="B1697" s="43" t="s">
        <v>1729</v>
      </c>
      <c r="C1697" s="43" t="s">
        <v>1730</v>
      </c>
      <c r="D1697" s="43">
        <v>2016</v>
      </c>
      <c r="E1697" s="43">
        <v>1971</v>
      </c>
      <c r="F1697" s="43" t="s">
        <v>1731</v>
      </c>
      <c r="H1697" s="43">
        <v>38.94</v>
      </c>
      <c r="I1697" s="43">
        <v>-92.33</v>
      </c>
      <c r="J1697" s="43">
        <v>225</v>
      </c>
      <c r="P1697" s="61" t="s">
        <v>181</v>
      </c>
      <c r="Q1697" s="61"/>
      <c r="R1697" s="61"/>
      <c r="S1697" s="61" t="s">
        <v>1653</v>
      </c>
      <c r="T1697" s="61" t="s">
        <v>1653</v>
      </c>
      <c r="X1697" s="43" t="s">
        <v>168</v>
      </c>
      <c r="AC1697" s="43" t="s">
        <v>501</v>
      </c>
      <c r="AD1697" s="153" t="str">
        <f t="shared" si="283"/>
        <v>Clover</v>
      </c>
      <c r="AE1697" s="43" t="s">
        <v>167</v>
      </c>
      <c r="AP1697" s="43" t="s">
        <v>208</v>
      </c>
      <c r="AS1697" s="43" t="s">
        <v>177</v>
      </c>
      <c r="AX1697" s="43" t="s">
        <v>1733</v>
      </c>
      <c r="DS1697" s="43">
        <v>2.2799999999999998</v>
      </c>
      <c r="DT1697" s="43">
        <v>2.4300000000000002</v>
      </c>
      <c r="DU1697" s="43" t="s">
        <v>1734</v>
      </c>
    </row>
    <row r="1698" spans="1:125" s="35" customFormat="1" x14ac:dyDescent="0.25">
      <c r="A1698" s="35">
        <v>82</v>
      </c>
      <c r="B1698" s="35" t="s">
        <v>1735</v>
      </c>
      <c r="C1698" s="35" t="s">
        <v>1736</v>
      </c>
      <c r="D1698" s="35">
        <v>2007</v>
      </c>
      <c r="E1698" s="35">
        <v>2000</v>
      </c>
      <c r="F1698" s="35" t="s">
        <v>1737</v>
      </c>
      <c r="G1698" s="35" t="s">
        <v>1738</v>
      </c>
      <c r="H1698" s="35">
        <v>42.74</v>
      </c>
      <c r="I1698" s="35">
        <v>-84.48</v>
      </c>
      <c r="J1698" s="35">
        <v>260</v>
      </c>
      <c r="O1698" s="54"/>
      <c r="P1698" s="54" t="s">
        <v>179</v>
      </c>
      <c r="Q1698" s="54"/>
      <c r="R1698" s="54"/>
      <c r="S1698" s="54" t="s">
        <v>1654</v>
      </c>
      <c r="T1698" s="54" t="s">
        <v>1682</v>
      </c>
      <c r="X1698" s="35" t="s">
        <v>175</v>
      </c>
      <c r="AC1698" s="35" t="s">
        <v>150</v>
      </c>
      <c r="AD1698" s="153" t="str">
        <f t="shared" si="283"/>
        <v>Wheat</v>
      </c>
      <c r="AE1698" s="35" t="s">
        <v>205</v>
      </c>
      <c r="AP1698" s="35" t="s">
        <v>208</v>
      </c>
      <c r="AQ1698" s="35">
        <v>4</v>
      </c>
      <c r="AR1698" s="35">
        <v>4</v>
      </c>
      <c r="AS1698" s="35" t="s">
        <v>404</v>
      </c>
      <c r="BK1698" s="35">
        <v>1.4</v>
      </c>
      <c r="BL1698" s="35">
        <v>1.1000000000000001</v>
      </c>
    </row>
    <row r="1699" spans="1:125" s="35" customFormat="1" x14ac:dyDescent="0.25">
      <c r="A1699" s="35">
        <v>82</v>
      </c>
      <c r="B1699" s="35" t="s">
        <v>1735</v>
      </c>
      <c r="C1699" s="35" t="s">
        <v>1736</v>
      </c>
      <c r="D1699" s="35">
        <v>2007</v>
      </c>
      <c r="E1699" s="35">
        <v>2000</v>
      </c>
      <c r="F1699" s="35" t="s">
        <v>1737</v>
      </c>
      <c r="G1699" s="35" t="s">
        <v>1738</v>
      </c>
      <c r="H1699" s="35">
        <v>42.74</v>
      </c>
      <c r="I1699" s="35">
        <v>-84.48</v>
      </c>
      <c r="J1699" s="35">
        <v>260</v>
      </c>
      <c r="O1699" s="54"/>
      <c r="P1699" s="54" t="s">
        <v>179</v>
      </c>
      <c r="Q1699" s="54"/>
      <c r="R1699" s="54"/>
      <c r="S1699" s="54" t="s">
        <v>1654</v>
      </c>
      <c r="T1699" s="54" t="s">
        <v>1682</v>
      </c>
      <c r="X1699" s="35" t="s">
        <v>175</v>
      </c>
      <c r="AC1699" s="35" t="s">
        <v>166</v>
      </c>
      <c r="AD1699" s="153" t="str">
        <f t="shared" si="283"/>
        <v>Rye</v>
      </c>
      <c r="AE1699" s="35" t="s">
        <v>205</v>
      </c>
      <c r="AP1699" s="35" t="s">
        <v>208</v>
      </c>
      <c r="AQ1699" s="35">
        <v>4</v>
      </c>
      <c r="AR1699" s="35">
        <v>4</v>
      </c>
      <c r="AS1699" s="35" t="s">
        <v>404</v>
      </c>
      <c r="BK1699" s="35">
        <v>1.4</v>
      </c>
      <c r="BL1699" s="35">
        <v>1.1000000000000001</v>
      </c>
    </row>
    <row r="1700" spans="1:125" s="35" customFormat="1" x14ac:dyDescent="0.25">
      <c r="A1700" s="35">
        <v>82</v>
      </c>
      <c r="B1700" s="35" t="s">
        <v>1735</v>
      </c>
      <c r="C1700" s="35" t="s">
        <v>1736</v>
      </c>
      <c r="D1700" s="35">
        <v>2007</v>
      </c>
      <c r="E1700" s="35">
        <v>2000</v>
      </c>
      <c r="F1700" s="35" t="s">
        <v>1737</v>
      </c>
      <c r="G1700" s="35" t="s">
        <v>1738</v>
      </c>
      <c r="H1700" s="35">
        <v>42.74</v>
      </c>
      <c r="I1700" s="35">
        <v>-84.48</v>
      </c>
      <c r="J1700" s="35">
        <v>260</v>
      </c>
      <c r="O1700" s="54"/>
      <c r="P1700" s="54" t="s">
        <v>179</v>
      </c>
      <c r="Q1700" s="54"/>
      <c r="R1700" s="54"/>
      <c r="S1700" s="54" t="s">
        <v>1654</v>
      </c>
      <c r="T1700" s="54" t="s">
        <v>1682</v>
      </c>
      <c r="X1700" s="35" t="s">
        <v>175</v>
      </c>
      <c r="AC1700" s="35" t="s">
        <v>1829</v>
      </c>
      <c r="AD1700" s="153" t="str">
        <f t="shared" si="283"/>
        <v>Rye_forage</v>
      </c>
      <c r="AE1700" s="35" t="s">
        <v>205</v>
      </c>
      <c r="AP1700" s="35" t="s">
        <v>208</v>
      </c>
      <c r="AQ1700" s="35">
        <v>4</v>
      </c>
      <c r="AR1700" s="35">
        <v>4</v>
      </c>
      <c r="AS1700" s="35" t="s">
        <v>404</v>
      </c>
      <c r="BK1700" s="35">
        <v>1.4</v>
      </c>
      <c r="BL1700" s="35">
        <v>0.9</v>
      </c>
    </row>
    <row r="1701" spans="1:125" s="35" customFormat="1" x14ac:dyDescent="0.25">
      <c r="A1701" s="35">
        <v>82</v>
      </c>
      <c r="B1701" s="35" t="s">
        <v>1735</v>
      </c>
      <c r="C1701" s="35" t="s">
        <v>1736</v>
      </c>
      <c r="D1701" s="35">
        <v>2007</v>
      </c>
      <c r="E1701" s="35">
        <v>2000</v>
      </c>
      <c r="F1701" s="35" t="s">
        <v>1737</v>
      </c>
      <c r="G1701" s="35" t="s">
        <v>1738</v>
      </c>
      <c r="H1701" s="35">
        <v>42.74</v>
      </c>
      <c r="I1701" s="35">
        <v>-84.48</v>
      </c>
      <c r="J1701" s="35">
        <v>260</v>
      </c>
      <c r="O1701" s="54"/>
      <c r="P1701" s="54" t="s">
        <v>179</v>
      </c>
      <c r="Q1701" s="54"/>
      <c r="R1701" s="54"/>
      <c r="S1701" s="54" t="s">
        <v>1654</v>
      </c>
      <c r="T1701" s="54" t="s">
        <v>1682</v>
      </c>
      <c r="X1701" s="35" t="s">
        <v>175</v>
      </c>
      <c r="AC1701" s="35" t="s">
        <v>1830</v>
      </c>
      <c r="AD1701" s="153" t="str">
        <f t="shared" si="283"/>
        <v>Wheat_early_forage</v>
      </c>
      <c r="AE1701" s="35" t="s">
        <v>205</v>
      </c>
      <c r="AP1701" s="35" t="s">
        <v>208</v>
      </c>
      <c r="AQ1701" s="35">
        <v>4</v>
      </c>
      <c r="AR1701" s="35">
        <v>4</v>
      </c>
      <c r="AS1701" s="35" t="s">
        <v>404</v>
      </c>
      <c r="BK1701" s="35">
        <v>1.4</v>
      </c>
      <c r="BL1701" s="35">
        <v>0.8</v>
      </c>
    </row>
    <row r="1702" spans="1:125" s="35" customFormat="1" x14ac:dyDescent="0.25">
      <c r="A1702" s="35">
        <v>82</v>
      </c>
      <c r="B1702" s="35" t="s">
        <v>1735</v>
      </c>
      <c r="C1702" s="35" t="s">
        <v>1736</v>
      </c>
      <c r="D1702" s="35">
        <v>2007</v>
      </c>
      <c r="E1702" s="35">
        <v>2000</v>
      </c>
      <c r="F1702" s="35" t="s">
        <v>1737</v>
      </c>
      <c r="G1702" s="35" t="s">
        <v>1738</v>
      </c>
      <c r="H1702" s="35">
        <v>42.74</v>
      </c>
      <c r="I1702" s="35">
        <v>-84.48</v>
      </c>
      <c r="J1702" s="35">
        <v>260</v>
      </c>
      <c r="O1702" s="54"/>
      <c r="P1702" s="54" t="s">
        <v>179</v>
      </c>
      <c r="Q1702" s="54"/>
      <c r="R1702" s="54"/>
      <c r="S1702" s="54" t="s">
        <v>1654</v>
      </c>
      <c r="T1702" s="54" t="s">
        <v>1682</v>
      </c>
      <c r="X1702" s="35" t="s">
        <v>175</v>
      </c>
      <c r="AC1702" s="35" t="s">
        <v>1831</v>
      </c>
      <c r="AD1702" s="153" t="str">
        <f t="shared" si="283"/>
        <v>Wheat_late_forage</v>
      </c>
      <c r="AE1702" s="35" t="s">
        <v>205</v>
      </c>
      <c r="AP1702" s="35" t="s">
        <v>208</v>
      </c>
      <c r="AQ1702" s="35">
        <v>4</v>
      </c>
      <c r="AR1702" s="35">
        <v>4</v>
      </c>
      <c r="AS1702" s="35" t="s">
        <v>404</v>
      </c>
      <c r="BK1702" s="35">
        <v>1.4</v>
      </c>
      <c r="BL1702" s="35">
        <v>0.6</v>
      </c>
    </row>
    <row r="1703" spans="1:125" s="35" customFormat="1" x14ac:dyDescent="0.25">
      <c r="A1703" s="35">
        <v>82</v>
      </c>
      <c r="B1703" s="35" t="s">
        <v>1735</v>
      </c>
      <c r="C1703" s="35" t="s">
        <v>1736</v>
      </c>
      <c r="D1703" s="35">
        <v>2007</v>
      </c>
      <c r="E1703" s="35">
        <v>2000</v>
      </c>
      <c r="F1703" s="35" t="s">
        <v>1737</v>
      </c>
      <c r="G1703" s="35" t="s">
        <v>1738</v>
      </c>
      <c r="H1703" s="35">
        <v>42.74</v>
      </c>
      <c r="I1703" s="35">
        <v>-84.48</v>
      </c>
      <c r="J1703" s="35">
        <v>260</v>
      </c>
      <c r="O1703" s="54"/>
      <c r="P1703" s="54" t="s">
        <v>179</v>
      </c>
      <c r="Q1703" s="54"/>
      <c r="R1703" s="54"/>
      <c r="S1703" s="54" t="s">
        <v>1654</v>
      </c>
      <c r="T1703" s="54" t="s">
        <v>1682</v>
      </c>
      <c r="X1703" s="35" t="s">
        <v>175</v>
      </c>
      <c r="AC1703" s="35" t="s">
        <v>1832</v>
      </c>
      <c r="AD1703" s="153" t="str">
        <f t="shared" si="283"/>
        <v>Wheat_early_grain</v>
      </c>
      <c r="AE1703" s="35" t="s">
        <v>205</v>
      </c>
      <c r="AP1703" s="35" t="s">
        <v>208</v>
      </c>
      <c r="AQ1703" s="35">
        <v>4</v>
      </c>
      <c r="AR1703" s="35">
        <v>4</v>
      </c>
      <c r="AS1703" s="35" t="s">
        <v>404</v>
      </c>
      <c r="BK1703" s="35">
        <v>1.4</v>
      </c>
      <c r="BL1703" s="35">
        <v>0.8</v>
      </c>
    </row>
    <row r="1704" spans="1:125" s="35" customFormat="1" x14ac:dyDescent="0.25">
      <c r="A1704" s="35">
        <v>82</v>
      </c>
      <c r="B1704" s="35" t="s">
        <v>1735</v>
      </c>
      <c r="C1704" s="35" t="s">
        <v>1736</v>
      </c>
      <c r="D1704" s="35">
        <v>2007</v>
      </c>
      <c r="E1704" s="35">
        <v>2000</v>
      </c>
      <c r="F1704" s="35" t="s">
        <v>1737</v>
      </c>
      <c r="G1704" s="35" t="s">
        <v>1738</v>
      </c>
      <c r="H1704" s="35">
        <v>42.74</v>
      </c>
      <c r="I1704" s="35">
        <v>-84.48</v>
      </c>
      <c r="J1704" s="35">
        <v>260</v>
      </c>
      <c r="O1704" s="54"/>
      <c r="P1704" s="54" t="s">
        <v>179</v>
      </c>
      <c r="Q1704" s="54"/>
      <c r="R1704" s="54"/>
      <c r="S1704" s="54" t="s">
        <v>1654</v>
      </c>
      <c r="T1704" s="54" t="s">
        <v>1682</v>
      </c>
      <c r="X1704" s="35" t="s">
        <v>175</v>
      </c>
      <c r="AC1704" s="35" t="s">
        <v>1833</v>
      </c>
      <c r="AD1704" s="153" t="str">
        <f t="shared" si="283"/>
        <v>Wheat_late_grain</v>
      </c>
      <c r="AE1704" s="35" t="s">
        <v>205</v>
      </c>
      <c r="AP1704" s="35" t="s">
        <v>208</v>
      </c>
      <c r="AQ1704" s="35">
        <v>4</v>
      </c>
      <c r="AR1704" s="35">
        <v>4</v>
      </c>
      <c r="AS1704" s="35" t="s">
        <v>404</v>
      </c>
      <c r="BK1704" s="35">
        <v>1.4</v>
      </c>
      <c r="BL1704" s="35">
        <v>1.1000000000000001</v>
      </c>
    </row>
    <row r="1705" spans="1:125" s="148" customFormat="1" x14ac:dyDescent="0.25">
      <c r="A1705" s="148">
        <v>82</v>
      </c>
      <c r="B1705" s="148" t="s">
        <v>1735</v>
      </c>
      <c r="C1705" s="148" t="s">
        <v>1736</v>
      </c>
      <c r="D1705" s="148">
        <v>2007</v>
      </c>
      <c r="E1705" s="148">
        <v>2000</v>
      </c>
      <c r="F1705" s="148" t="s">
        <v>1737</v>
      </c>
      <c r="G1705" s="148" t="s">
        <v>1738</v>
      </c>
      <c r="H1705" s="148">
        <v>42.74</v>
      </c>
      <c r="I1705" s="148">
        <v>-84.48</v>
      </c>
      <c r="J1705" s="148">
        <v>260</v>
      </c>
      <c r="O1705" s="149"/>
      <c r="P1705" s="149" t="s">
        <v>179</v>
      </c>
      <c r="Q1705" s="149"/>
      <c r="R1705" s="149"/>
      <c r="S1705" s="149" t="s">
        <v>1667</v>
      </c>
      <c r="T1705" s="149" t="s">
        <v>1682</v>
      </c>
      <c r="X1705" s="148" t="s">
        <v>175</v>
      </c>
      <c r="AC1705" s="148" t="s">
        <v>150</v>
      </c>
      <c r="AD1705" s="153" t="str">
        <f t="shared" si="283"/>
        <v>Wheat</v>
      </c>
      <c r="AE1705" s="148" t="s">
        <v>205</v>
      </c>
      <c r="AP1705" s="35" t="s">
        <v>208</v>
      </c>
      <c r="AQ1705" s="35">
        <v>4</v>
      </c>
      <c r="AR1705" s="35">
        <v>4</v>
      </c>
      <c r="AS1705" s="35" t="s">
        <v>404</v>
      </c>
      <c r="BK1705" s="148">
        <v>1.6</v>
      </c>
      <c r="BL1705" s="148">
        <v>0.9</v>
      </c>
    </row>
    <row r="1706" spans="1:125" s="148" customFormat="1" x14ac:dyDescent="0.25">
      <c r="A1706" s="148">
        <v>82</v>
      </c>
      <c r="B1706" s="148" t="s">
        <v>1735</v>
      </c>
      <c r="C1706" s="148" t="s">
        <v>1736</v>
      </c>
      <c r="D1706" s="148">
        <v>2007</v>
      </c>
      <c r="E1706" s="148">
        <v>2000</v>
      </c>
      <c r="F1706" s="148" t="s">
        <v>1737</v>
      </c>
      <c r="G1706" s="148" t="s">
        <v>1738</v>
      </c>
      <c r="H1706" s="148">
        <v>42.74</v>
      </c>
      <c r="I1706" s="148">
        <v>-84.48</v>
      </c>
      <c r="J1706" s="148">
        <v>260</v>
      </c>
      <c r="O1706" s="149"/>
      <c r="P1706" s="149" t="s">
        <v>179</v>
      </c>
      <c r="Q1706" s="149"/>
      <c r="R1706" s="149"/>
      <c r="S1706" s="149" t="s">
        <v>1667</v>
      </c>
      <c r="T1706" s="149" t="s">
        <v>1682</v>
      </c>
      <c r="X1706" s="148" t="s">
        <v>175</v>
      </c>
      <c r="AC1706" s="148" t="s">
        <v>166</v>
      </c>
      <c r="AD1706" s="153" t="str">
        <f t="shared" si="283"/>
        <v>Rye</v>
      </c>
      <c r="AE1706" s="148" t="s">
        <v>205</v>
      </c>
      <c r="AP1706" s="35" t="s">
        <v>208</v>
      </c>
      <c r="AQ1706" s="35">
        <v>4</v>
      </c>
      <c r="AR1706" s="35">
        <v>4</v>
      </c>
      <c r="AS1706" s="35" t="s">
        <v>404</v>
      </c>
      <c r="BK1706" s="148">
        <v>1.6</v>
      </c>
      <c r="BL1706" s="148">
        <v>0.8</v>
      </c>
    </row>
    <row r="1707" spans="1:125" s="148" customFormat="1" x14ac:dyDescent="0.25">
      <c r="A1707" s="148">
        <v>82</v>
      </c>
      <c r="B1707" s="148" t="s">
        <v>1735</v>
      </c>
      <c r="C1707" s="148" t="s">
        <v>1736</v>
      </c>
      <c r="D1707" s="148">
        <v>2007</v>
      </c>
      <c r="E1707" s="148">
        <v>2000</v>
      </c>
      <c r="F1707" s="148" t="s">
        <v>1737</v>
      </c>
      <c r="G1707" s="148" t="s">
        <v>1738</v>
      </c>
      <c r="H1707" s="148">
        <v>42.74</v>
      </c>
      <c r="I1707" s="148">
        <v>-84.48</v>
      </c>
      <c r="J1707" s="148">
        <v>260</v>
      </c>
      <c r="O1707" s="149"/>
      <c r="P1707" s="149" t="s">
        <v>179</v>
      </c>
      <c r="Q1707" s="149"/>
      <c r="R1707" s="149"/>
      <c r="S1707" s="149" t="s">
        <v>1667</v>
      </c>
      <c r="T1707" s="149" t="s">
        <v>1682</v>
      </c>
      <c r="X1707" s="148" t="s">
        <v>175</v>
      </c>
      <c r="AC1707" s="148" t="s">
        <v>1829</v>
      </c>
      <c r="AD1707" s="153" t="str">
        <f t="shared" si="283"/>
        <v>Rye_forage</v>
      </c>
      <c r="AE1707" s="148" t="s">
        <v>205</v>
      </c>
      <c r="AP1707" s="35" t="s">
        <v>208</v>
      </c>
      <c r="AQ1707" s="35">
        <v>4</v>
      </c>
      <c r="AR1707" s="35">
        <v>4</v>
      </c>
      <c r="AS1707" s="35" t="s">
        <v>404</v>
      </c>
      <c r="BK1707" s="148">
        <v>1.6</v>
      </c>
      <c r="BL1707" s="148">
        <v>0.8</v>
      </c>
    </row>
    <row r="1708" spans="1:125" s="148" customFormat="1" x14ac:dyDescent="0.25">
      <c r="A1708" s="148">
        <v>82</v>
      </c>
      <c r="B1708" s="148" t="s">
        <v>1735</v>
      </c>
      <c r="C1708" s="148" t="s">
        <v>1736</v>
      </c>
      <c r="D1708" s="148">
        <v>2007</v>
      </c>
      <c r="E1708" s="148">
        <v>2000</v>
      </c>
      <c r="F1708" s="148" t="s">
        <v>1737</v>
      </c>
      <c r="G1708" s="148" t="s">
        <v>1738</v>
      </c>
      <c r="H1708" s="148">
        <v>42.74</v>
      </c>
      <c r="I1708" s="148">
        <v>-84.48</v>
      </c>
      <c r="J1708" s="148">
        <v>260</v>
      </c>
      <c r="O1708" s="149"/>
      <c r="P1708" s="149" t="s">
        <v>179</v>
      </c>
      <c r="Q1708" s="149"/>
      <c r="R1708" s="149"/>
      <c r="S1708" s="149" t="s">
        <v>1667</v>
      </c>
      <c r="T1708" s="149" t="s">
        <v>1682</v>
      </c>
      <c r="X1708" s="148" t="s">
        <v>175</v>
      </c>
      <c r="AC1708" s="148" t="s">
        <v>1830</v>
      </c>
      <c r="AD1708" s="153" t="str">
        <f t="shared" si="283"/>
        <v>Wheat_early_forage</v>
      </c>
      <c r="AE1708" s="148" t="s">
        <v>205</v>
      </c>
      <c r="AP1708" s="35" t="s">
        <v>208</v>
      </c>
      <c r="AQ1708" s="35">
        <v>4</v>
      </c>
      <c r="AR1708" s="35">
        <v>4</v>
      </c>
      <c r="AS1708" s="35" t="s">
        <v>404</v>
      </c>
      <c r="BK1708" s="148">
        <v>1.6</v>
      </c>
      <c r="BL1708" s="148">
        <v>0.9</v>
      </c>
    </row>
    <row r="1709" spans="1:125" s="148" customFormat="1" x14ac:dyDescent="0.25">
      <c r="A1709" s="148">
        <v>82</v>
      </c>
      <c r="B1709" s="148" t="s">
        <v>1735</v>
      </c>
      <c r="C1709" s="148" t="s">
        <v>1736</v>
      </c>
      <c r="D1709" s="148">
        <v>2007</v>
      </c>
      <c r="E1709" s="148">
        <v>2000</v>
      </c>
      <c r="F1709" s="148" t="s">
        <v>1737</v>
      </c>
      <c r="G1709" s="148" t="s">
        <v>1738</v>
      </c>
      <c r="H1709" s="148">
        <v>42.74</v>
      </c>
      <c r="I1709" s="148">
        <v>-84.48</v>
      </c>
      <c r="J1709" s="148">
        <v>260</v>
      </c>
      <c r="O1709" s="149"/>
      <c r="P1709" s="149" t="s">
        <v>179</v>
      </c>
      <c r="Q1709" s="149"/>
      <c r="R1709" s="149"/>
      <c r="S1709" s="149" t="s">
        <v>1667</v>
      </c>
      <c r="T1709" s="149" t="s">
        <v>1682</v>
      </c>
      <c r="X1709" s="148" t="s">
        <v>175</v>
      </c>
      <c r="AC1709" s="148" t="s">
        <v>1831</v>
      </c>
      <c r="AD1709" s="153" t="str">
        <f t="shared" si="283"/>
        <v>Wheat_late_forage</v>
      </c>
      <c r="AE1709" s="148" t="s">
        <v>205</v>
      </c>
      <c r="AP1709" s="35" t="s">
        <v>208</v>
      </c>
      <c r="AQ1709" s="35">
        <v>4</v>
      </c>
      <c r="AR1709" s="35">
        <v>4</v>
      </c>
      <c r="AS1709" s="35" t="s">
        <v>404</v>
      </c>
      <c r="BK1709" s="148">
        <v>1.6</v>
      </c>
      <c r="BL1709" s="148">
        <v>0.6</v>
      </c>
    </row>
    <row r="1710" spans="1:125" s="148" customFormat="1" x14ac:dyDescent="0.25">
      <c r="A1710" s="148">
        <v>82</v>
      </c>
      <c r="B1710" s="148" t="s">
        <v>1735</v>
      </c>
      <c r="C1710" s="148" t="s">
        <v>1736</v>
      </c>
      <c r="D1710" s="148">
        <v>2007</v>
      </c>
      <c r="E1710" s="148">
        <v>2000</v>
      </c>
      <c r="F1710" s="148" t="s">
        <v>1737</v>
      </c>
      <c r="G1710" s="148" t="s">
        <v>1738</v>
      </c>
      <c r="H1710" s="148">
        <v>42.74</v>
      </c>
      <c r="I1710" s="148">
        <v>-84.48</v>
      </c>
      <c r="J1710" s="148">
        <v>260</v>
      </c>
      <c r="O1710" s="149"/>
      <c r="P1710" s="149" t="s">
        <v>179</v>
      </c>
      <c r="Q1710" s="149"/>
      <c r="R1710" s="149"/>
      <c r="S1710" s="149" t="s">
        <v>1667</v>
      </c>
      <c r="T1710" s="149" t="s">
        <v>1682</v>
      </c>
      <c r="X1710" s="148" t="s">
        <v>175</v>
      </c>
      <c r="AC1710" s="148" t="s">
        <v>1832</v>
      </c>
      <c r="AD1710" s="153" t="str">
        <f t="shared" si="283"/>
        <v>Wheat_early_grain</v>
      </c>
      <c r="AE1710" s="148" t="s">
        <v>205</v>
      </c>
      <c r="AP1710" s="35" t="s">
        <v>208</v>
      </c>
      <c r="AQ1710" s="35">
        <v>4</v>
      </c>
      <c r="AR1710" s="35">
        <v>4</v>
      </c>
      <c r="AS1710" s="35" t="s">
        <v>404</v>
      </c>
      <c r="BK1710" s="148">
        <v>1.6</v>
      </c>
      <c r="BL1710" s="148">
        <v>0.7</v>
      </c>
    </row>
    <row r="1711" spans="1:125" s="148" customFormat="1" x14ac:dyDescent="0.25">
      <c r="A1711" s="148">
        <v>82</v>
      </c>
      <c r="B1711" s="148" t="s">
        <v>1735</v>
      </c>
      <c r="C1711" s="148" t="s">
        <v>1736</v>
      </c>
      <c r="D1711" s="148">
        <v>2007</v>
      </c>
      <c r="E1711" s="148">
        <v>2000</v>
      </c>
      <c r="F1711" s="148" t="s">
        <v>1737</v>
      </c>
      <c r="G1711" s="148" t="s">
        <v>1738</v>
      </c>
      <c r="H1711" s="148">
        <v>42.74</v>
      </c>
      <c r="I1711" s="148">
        <v>-84.48</v>
      </c>
      <c r="J1711" s="148">
        <v>260</v>
      </c>
      <c r="O1711" s="149"/>
      <c r="P1711" s="149" t="s">
        <v>179</v>
      </c>
      <c r="Q1711" s="149"/>
      <c r="R1711" s="149"/>
      <c r="S1711" s="149" t="s">
        <v>1667</v>
      </c>
      <c r="T1711" s="149" t="s">
        <v>1682</v>
      </c>
      <c r="X1711" s="148" t="s">
        <v>175</v>
      </c>
      <c r="AC1711" s="148" t="s">
        <v>1833</v>
      </c>
      <c r="AD1711" s="153" t="str">
        <f t="shared" si="283"/>
        <v>Wheat_late_grain</v>
      </c>
      <c r="AE1711" s="148" t="s">
        <v>205</v>
      </c>
      <c r="AP1711" s="35" t="s">
        <v>208</v>
      </c>
      <c r="AQ1711" s="35">
        <v>4</v>
      </c>
      <c r="AR1711" s="35">
        <v>4</v>
      </c>
      <c r="AS1711" s="35" t="s">
        <v>404</v>
      </c>
      <c r="BK1711" s="148">
        <v>1.6</v>
      </c>
      <c r="BL1711" s="148">
        <v>0.7</v>
      </c>
    </row>
    <row r="1712" spans="1:125" s="35" customFormat="1" x14ac:dyDescent="0.25">
      <c r="A1712" s="35">
        <v>82</v>
      </c>
      <c r="B1712" s="35" t="s">
        <v>1735</v>
      </c>
      <c r="C1712" s="35" t="s">
        <v>1736</v>
      </c>
      <c r="D1712" s="35">
        <v>2007</v>
      </c>
      <c r="E1712" s="35">
        <v>2000</v>
      </c>
      <c r="F1712" s="35" t="s">
        <v>1737</v>
      </c>
      <c r="G1712" s="35" t="s">
        <v>1738</v>
      </c>
      <c r="H1712" s="35">
        <v>42.74</v>
      </c>
      <c r="I1712" s="35">
        <v>-84.48</v>
      </c>
      <c r="J1712" s="35">
        <v>260</v>
      </c>
      <c r="O1712" s="54"/>
      <c r="P1712" s="54" t="s">
        <v>179</v>
      </c>
      <c r="Q1712" s="54"/>
      <c r="R1712" s="54"/>
      <c r="S1712" s="54" t="s">
        <v>1668</v>
      </c>
      <c r="T1712" s="54" t="s">
        <v>1682</v>
      </c>
      <c r="X1712" s="35" t="s">
        <v>175</v>
      </c>
      <c r="AC1712" s="35" t="s">
        <v>150</v>
      </c>
      <c r="AD1712" s="153" t="str">
        <f t="shared" si="283"/>
        <v>Wheat</v>
      </c>
      <c r="AE1712" s="35" t="s">
        <v>205</v>
      </c>
      <c r="AP1712" s="35" t="s">
        <v>208</v>
      </c>
      <c r="AQ1712" s="35">
        <v>4</v>
      </c>
      <c r="AR1712" s="35">
        <v>4</v>
      </c>
      <c r="AS1712" s="35" t="s">
        <v>404</v>
      </c>
      <c r="BK1712" s="35">
        <v>1.5</v>
      </c>
      <c r="BL1712" s="35">
        <v>0.6</v>
      </c>
    </row>
    <row r="1713" spans="1:64" s="35" customFormat="1" x14ac:dyDescent="0.25">
      <c r="A1713" s="35">
        <v>82</v>
      </c>
      <c r="B1713" s="35" t="s">
        <v>1735</v>
      </c>
      <c r="C1713" s="35" t="s">
        <v>1736</v>
      </c>
      <c r="D1713" s="35">
        <v>2007</v>
      </c>
      <c r="E1713" s="35">
        <v>2000</v>
      </c>
      <c r="F1713" s="35" t="s">
        <v>1737</v>
      </c>
      <c r="G1713" s="35" t="s">
        <v>1738</v>
      </c>
      <c r="H1713" s="35">
        <v>42.74</v>
      </c>
      <c r="I1713" s="35">
        <v>-84.48</v>
      </c>
      <c r="J1713" s="35">
        <v>260</v>
      </c>
      <c r="O1713" s="54"/>
      <c r="P1713" s="54" t="s">
        <v>179</v>
      </c>
      <c r="Q1713" s="54"/>
      <c r="R1713" s="54"/>
      <c r="S1713" s="54" t="s">
        <v>1668</v>
      </c>
      <c r="T1713" s="54" t="s">
        <v>1682</v>
      </c>
      <c r="X1713" s="35" t="s">
        <v>175</v>
      </c>
      <c r="AC1713" s="35" t="s">
        <v>166</v>
      </c>
      <c r="AD1713" s="153" t="str">
        <f t="shared" si="283"/>
        <v>Rye</v>
      </c>
      <c r="AE1713" s="35" t="s">
        <v>205</v>
      </c>
      <c r="AP1713" s="35" t="s">
        <v>208</v>
      </c>
      <c r="AQ1713" s="35">
        <v>4</v>
      </c>
      <c r="AR1713" s="35">
        <v>4</v>
      </c>
      <c r="AS1713" s="35" t="s">
        <v>404</v>
      </c>
      <c r="BK1713" s="35">
        <v>1.5</v>
      </c>
      <c r="BL1713" s="35">
        <v>0.7</v>
      </c>
    </row>
    <row r="1714" spans="1:64" s="35" customFormat="1" x14ac:dyDescent="0.25">
      <c r="A1714" s="35">
        <v>82</v>
      </c>
      <c r="B1714" s="35" t="s">
        <v>1735</v>
      </c>
      <c r="C1714" s="35" t="s">
        <v>1736</v>
      </c>
      <c r="D1714" s="35">
        <v>2007</v>
      </c>
      <c r="E1714" s="35">
        <v>2000</v>
      </c>
      <c r="F1714" s="35" t="s">
        <v>1737</v>
      </c>
      <c r="G1714" s="35" t="s">
        <v>1738</v>
      </c>
      <c r="H1714" s="35">
        <v>42.74</v>
      </c>
      <c r="I1714" s="35">
        <v>-84.48</v>
      </c>
      <c r="J1714" s="35">
        <v>260</v>
      </c>
      <c r="O1714" s="54"/>
      <c r="P1714" s="54" t="s">
        <v>179</v>
      </c>
      <c r="Q1714" s="54"/>
      <c r="R1714" s="54"/>
      <c r="S1714" s="54" t="s">
        <v>1668</v>
      </c>
      <c r="T1714" s="54" t="s">
        <v>1682</v>
      </c>
      <c r="X1714" s="35" t="s">
        <v>175</v>
      </c>
      <c r="AC1714" s="35" t="s">
        <v>1829</v>
      </c>
      <c r="AD1714" s="153" t="str">
        <f t="shared" si="283"/>
        <v>Rye_forage</v>
      </c>
      <c r="AE1714" s="35" t="s">
        <v>205</v>
      </c>
      <c r="AP1714" s="35" t="s">
        <v>208</v>
      </c>
      <c r="AQ1714" s="35">
        <v>4</v>
      </c>
      <c r="AR1714" s="35">
        <v>4</v>
      </c>
      <c r="AS1714" s="35" t="s">
        <v>404</v>
      </c>
      <c r="BK1714" s="35">
        <v>1.5</v>
      </c>
      <c r="BL1714" s="35">
        <v>1</v>
      </c>
    </row>
    <row r="1715" spans="1:64" s="35" customFormat="1" x14ac:dyDescent="0.25">
      <c r="A1715" s="35">
        <v>82</v>
      </c>
      <c r="B1715" s="35" t="s">
        <v>1735</v>
      </c>
      <c r="C1715" s="35" t="s">
        <v>1736</v>
      </c>
      <c r="D1715" s="35">
        <v>2007</v>
      </c>
      <c r="E1715" s="35">
        <v>2000</v>
      </c>
      <c r="F1715" s="35" t="s">
        <v>1737</v>
      </c>
      <c r="G1715" s="35" t="s">
        <v>1738</v>
      </c>
      <c r="H1715" s="35">
        <v>42.74</v>
      </c>
      <c r="I1715" s="35">
        <v>-84.48</v>
      </c>
      <c r="J1715" s="35">
        <v>260</v>
      </c>
      <c r="O1715" s="54"/>
      <c r="P1715" s="54" t="s">
        <v>179</v>
      </c>
      <c r="Q1715" s="54"/>
      <c r="R1715" s="54"/>
      <c r="S1715" s="54" t="s">
        <v>1668</v>
      </c>
      <c r="T1715" s="54" t="s">
        <v>1682</v>
      </c>
      <c r="X1715" s="35" t="s">
        <v>175</v>
      </c>
      <c r="AC1715" s="35" t="s">
        <v>1830</v>
      </c>
      <c r="AD1715" s="153" t="str">
        <f t="shared" si="283"/>
        <v>Wheat_early_forage</v>
      </c>
      <c r="AE1715" s="35" t="s">
        <v>205</v>
      </c>
      <c r="AP1715" s="35" t="s">
        <v>208</v>
      </c>
      <c r="AQ1715" s="35">
        <v>4</v>
      </c>
      <c r="AR1715" s="35">
        <v>4</v>
      </c>
      <c r="AS1715" s="35" t="s">
        <v>404</v>
      </c>
      <c r="BK1715" s="35">
        <v>1.5</v>
      </c>
      <c r="BL1715" s="35">
        <v>0.5</v>
      </c>
    </row>
    <row r="1716" spans="1:64" s="35" customFormat="1" x14ac:dyDescent="0.25">
      <c r="A1716" s="35">
        <v>82</v>
      </c>
      <c r="B1716" s="35" t="s">
        <v>1735</v>
      </c>
      <c r="C1716" s="35" t="s">
        <v>1736</v>
      </c>
      <c r="D1716" s="35">
        <v>2007</v>
      </c>
      <c r="E1716" s="35">
        <v>2000</v>
      </c>
      <c r="F1716" s="35" t="s">
        <v>1737</v>
      </c>
      <c r="G1716" s="35" t="s">
        <v>1738</v>
      </c>
      <c r="H1716" s="35">
        <v>42.74</v>
      </c>
      <c r="I1716" s="35">
        <v>-84.48</v>
      </c>
      <c r="J1716" s="35">
        <v>260</v>
      </c>
      <c r="O1716" s="54"/>
      <c r="P1716" s="54" t="s">
        <v>179</v>
      </c>
      <c r="Q1716" s="54"/>
      <c r="R1716" s="54"/>
      <c r="S1716" s="54" t="s">
        <v>1668</v>
      </c>
      <c r="T1716" s="54" t="s">
        <v>1682</v>
      </c>
      <c r="X1716" s="35" t="s">
        <v>175</v>
      </c>
      <c r="AC1716" s="35" t="s">
        <v>1831</v>
      </c>
      <c r="AD1716" s="153" t="str">
        <f t="shared" si="283"/>
        <v>Wheat_late_forage</v>
      </c>
      <c r="AE1716" s="35" t="s">
        <v>205</v>
      </c>
      <c r="AP1716" s="35" t="s">
        <v>208</v>
      </c>
      <c r="AQ1716" s="35">
        <v>4</v>
      </c>
      <c r="AR1716" s="35">
        <v>4</v>
      </c>
      <c r="AS1716" s="35" t="s">
        <v>404</v>
      </c>
      <c r="BK1716" s="35">
        <v>1.5</v>
      </c>
      <c r="BL1716" s="35">
        <v>0.7</v>
      </c>
    </row>
    <row r="1717" spans="1:64" s="35" customFormat="1" x14ac:dyDescent="0.25">
      <c r="A1717" s="35">
        <v>82</v>
      </c>
      <c r="B1717" s="35" t="s">
        <v>1735</v>
      </c>
      <c r="C1717" s="35" t="s">
        <v>1736</v>
      </c>
      <c r="D1717" s="35">
        <v>2007</v>
      </c>
      <c r="E1717" s="35">
        <v>2000</v>
      </c>
      <c r="F1717" s="35" t="s">
        <v>1737</v>
      </c>
      <c r="G1717" s="35" t="s">
        <v>1738</v>
      </c>
      <c r="H1717" s="35">
        <v>42.74</v>
      </c>
      <c r="I1717" s="35">
        <v>-84.48</v>
      </c>
      <c r="J1717" s="35">
        <v>260</v>
      </c>
      <c r="O1717" s="54"/>
      <c r="P1717" s="54" t="s">
        <v>179</v>
      </c>
      <c r="Q1717" s="54"/>
      <c r="R1717" s="54"/>
      <c r="S1717" s="54" t="s">
        <v>1668</v>
      </c>
      <c r="T1717" s="54" t="s">
        <v>1682</v>
      </c>
      <c r="X1717" s="35" t="s">
        <v>175</v>
      </c>
      <c r="AC1717" s="35" t="s">
        <v>1832</v>
      </c>
      <c r="AD1717" s="153" t="str">
        <f t="shared" si="283"/>
        <v>Wheat_early_grain</v>
      </c>
      <c r="AE1717" s="35" t="s">
        <v>205</v>
      </c>
      <c r="AP1717" s="35" t="s">
        <v>208</v>
      </c>
      <c r="AQ1717" s="35">
        <v>4</v>
      </c>
      <c r="AR1717" s="35">
        <v>4</v>
      </c>
      <c r="AS1717" s="35" t="s">
        <v>404</v>
      </c>
      <c r="BK1717" s="35">
        <v>1.5</v>
      </c>
      <c r="BL1717" s="35">
        <v>0.8</v>
      </c>
    </row>
    <row r="1718" spans="1:64" s="35" customFormat="1" x14ac:dyDescent="0.25">
      <c r="A1718" s="35">
        <v>82</v>
      </c>
      <c r="B1718" s="35" t="s">
        <v>1735</v>
      </c>
      <c r="C1718" s="35" t="s">
        <v>1736</v>
      </c>
      <c r="D1718" s="35">
        <v>2007</v>
      </c>
      <c r="E1718" s="35">
        <v>2000</v>
      </c>
      <c r="F1718" s="35" t="s">
        <v>1737</v>
      </c>
      <c r="G1718" s="35" t="s">
        <v>1738</v>
      </c>
      <c r="H1718" s="35">
        <v>42.74</v>
      </c>
      <c r="I1718" s="35">
        <v>-84.48</v>
      </c>
      <c r="J1718" s="35">
        <v>260</v>
      </c>
      <c r="O1718" s="54"/>
      <c r="P1718" s="54" t="s">
        <v>179</v>
      </c>
      <c r="Q1718" s="54"/>
      <c r="R1718" s="54"/>
      <c r="S1718" s="54" t="s">
        <v>1668</v>
      </c>
      <c r="T1718" s="54" t="s">
        <v>1682</v>
      </c>
      <c r="X1718" s="35" t="s">
        <v>175</v>
      </c>
      <c r="AC1718" s="35" t="s">
        <v>1833</v>
      </c>
      <c r="AD1718" s="153" t="str">
        <f t="shared" si="283"/>
        <v>Wheat_late_grain</v>
      </c>
      <c r="AE1718" s="35" t="s">
        <v>205</v>
      </c>
      <c r="AP1718" s="35" t="s">
        <v>208</v>
      </c>
      <c r="AQ1718" s="35">
        <v>4</v>
      </c>
      <c r="AR1718" s="35">
        <v>4</v>
      </c>
      <c r="AS1718" s="35" t="s">
        <v>404</v>
      </c>
      <c r="BK1718" s="35">
        <v>1.5</v>
      </c>
      <c r="BL1718" s="35">
        <v>0.8</v>
      </c>
    </row>
    <row r="1719" spans="1:64" s="150" customFormat="1" x14ac:dyDescent="0.25">
      <c r="A1719" s="150">
        <v>82</v>
      </c>
      <c r="B1719" s="150" t="s">
        <v>1735</v>
      </c>
      <c r="C1719" s="150" t="s">
        <v>1736</v>
      </c>
      <c r="D1719" s="150">
        <v>2007</v>
      </c>
      <c r="E1719" s="150">
        <v>2001</v>
      </c>
      <c r="F1719" s="150" t="s">
        <v>1737</v>
      </c>
      <c r="G1719" s="150" t="s">
        <v>1738</v>
      </c>
      <c r="H1719" s="150">
        <v>42.74</v>
      </c>
      <c r="I1719" s="150">
        <v>-84.48</v>
      </c>
      <c r="J1719" s="150">
        <v>260</v>
      </c>
      <c r="O1719" s="151"/>
      <c r="P1719" s="151" t="s">
        <v>180</v>
      </c>
      <c r="Q1719" s="151"/>
      <c r="R1719" s="151"/>
      <c r="S1719" s="151" t="s">
        <v>1654</v>
      </c>
      <c r="T1719" s="151" t="s">
        <v>1682</v>
      </c>
      <c r="X1719" s="150" t="s">
        <v>175</v>
      </c>
      <c r="AC1719" s="150" t="s">
        <v>150</v>
      </c>
      <c r="AD1719" s="153" t="str">
        <f t="shared" si="283"/>
        <v>Wheat</v>
      </c>
      <c r="AE1719" s="150" t="s">
        <v>205</v>
      </c>
      <c r="AP1719" s="35" t="s">
        <v>208</v>
      </c>
      <c r="AQ1719" s="35">
        <v>4</v>
      </c>
      <c r="AR1719" s="35">
        <v>4</v>
      </c>
      <c r="AS1719" s="35" t="s">
        <v>404</v>
      </c>
      <c r="BK1719" s="150">
        <v>2.8</v>
      </c>
      <c r="BL1719" s="150">
        <v>2.7</v>
      </c>
    </row>
    <row r="1720" spans="1:64" s="150" customFormat="1" x14ac:dyDescent="0.25">
      <c r="A1720" s="150">
        <v>82</v>
      </c>
      <c r="B1720" s="150" t="s">
        <v>1735</v>
      </c>
      <c r="C1720" s="150" t="s">
        <v>1736</v>
      </c>
      <c r="D1720" s="150">
        <v>2007</v>
      </c>
      <c r="E1720" s="150">
        <v>2001</v>
      </c>
      <c r="F1720" s="150" t="s">
        <v>1737</v>
      </c>
      <c r="G1720" s="150" t="s">
        <v>1738</v>
      </c>
      <c r="H1720" s="150">
        <v>42.74</v>
      </c>
      <c r="I1720" s="150">
        <v>-84.48</v>
      </c>
      <c r="J1720" s="150">
        <v>260</v>
      </c>
      <c r="O1720" s="151"/>
      <c r="P1720" s="151" t="s">
        <v>180</v>
      </c>
      <c r="Q1720" s="151"/>
      <c r="R1720" s="151"/>
      <c r="S1720" s="151" t="s">
        <v>1654</v>
      </c>
      <c r="T1720" s="151" t="s">
        <v>1682</v>
      </c>
      <c r="X1720" s="150" t="s">
        <v>175</v>
      </c>
      <c r="AC1720" s="150" t="s">
        <v>166</v>
      </c>
      <c r="AD1720" s="153" t="str">
        <f t="shared" si="283"/>
        <v>Rye</v>
      </c>
      <c r="AE1720" s="150" t="s">
        <v>205</v>
      </c>
      <c r="AP1720" s="35" t="s">
        <v>208</v>
      </c>
      <c r="AQ1720" s="35">
        <v>4</v>
      </c>
      <c r="AR1720" s="35">
        <v>4</v>
      </c>
      <c r="AS1720" s="35" t="s">
        <v>404</v>
      </c>
      <c r="BK1720" s="150">
        <v>2.8</v>
      </c>
      <c r="BL1720" s="150">
        <v>2.2000000000000002</v>
      </c>
    </row>
    <row r="1721" spans="1:64" s="150" customFormat="1" x14ac:dyDescent="0.25">
      <c r="A1721" s="150">
        <v>82</v>
      </c>
      <c r="B1721" s="150" t="s">
        <v>1735</v>
      </c>
      <c r="C1721" s="150" t="s">
        <v>1736</v>
      </c>
      <c r="D1721" s="150">
        <v>2007</v>
      </c>
      <c r="E1721" s="150">
        <v>2001</v>
      </c>
      <c r="F1721" s="150" t="s">
        <v>1737</v>
      </c>
      <c r="G1721" s="150" t="s">
        <v>1738</v>
      </c>
      <c r="H1721" s="150">
        <v>42.74</v>
      </c>
      <c r="I1721" s="150">
        <v>-84.48</v>
      </c>
      <c r="J1721" s="150">
        <v>260</v>
      </c>
      <c r="O1721" s="151"/>
      <c r="P1721" s="151" t="s">
        <v>180</v>
      </c>
      <c r="Q1721" s="151"/>
      <c r="R1721" s="151"/>
      <c r="S1721" s="151" t="s">
        <v>1654</v>
      </c>
      <c r="T1721" s="151" t="s">
        <v>1682</v>
      </c>
      <c r="X1721" s="150" t="s">
        <v>175</v>
      </c>
      <c r="AC1721" s="150" t="s">
        <v>1829</v>
      </c>
      <c r="AD1721" s="153" t="str">
        <f t="shared" si="283"/>
        <v>Rye_forage</v>
      </c>
      <c r="AE1721" s="150" t="s">
        <v>205</v>
      </c>
      <c r="AP1721" s="35" t="s">
        <v>208</v>
      </c>
      <c r="AQ1721" s="35">
        <v>4</v>
      </c>
      <c r="AR1721" s="35">
        <v>4</v>
      </c>
      <c r="AS1721" s="35" t="s">
        <v>404</v>
      </c>
      <c r="BK1721" s="150">
        <v>2.8</v>
      </c>
      <c r="BL1721" s="150">
        <v>2.2999999999999998</v>
      </c>
    </row>
    <row r="1722" spans="1:64" s="150" customFormat="1" x14ac:dyDescent="0.25">
      <c r="A1722" s="150">
        <v>82</v>
      </c>
      <c r="B1722" s="150" t="s">
        <v>1735</v>
      </c>
      <c r="C1722" s="150" t="s">
        <v>1736</v>
      </c>
      <c r="D1722" s="150">
        <v>2007</v>
      </c>
      <c r="E1722" s="150">
        <v>2001</v>
      </c>
      <c r="F1722" s="150" t="s">
        <v>1737</v>
      </c>
      <c r="G1722" s="150" t="s">
        <v>1738</v>
      </c>
      <c r="H1722" s="150">
        <v>42.74</v>
      </c>
      <c r="I1722" s="150">
        <v>-84.48</v>
      </c>
      <c r="J1722" s="150">
        <v>260</v>
      </c>
      <c r="O1722" s="151"/>
      <c r="P1722" s="151" t="s">
        <v>180</v>
      </c>
      <c r="Q1722" s="151"/>
      <c r="R1722" s="151"/>
      <c r="S1722" s="151" t="s">
        <v>1654</v>
      </c>
      <c r="T1722" s="151" t="s">
        <v>1682</v>
      </c>
      <c r="X1722" s="150" t="s">
        <v>175</v>
      </c>
      <c r="AC1722" s="150" t="s">
        <v>1830</v>
      </c>
      <c r="AD1722" s="153" t="str">
        <f t="shared" si="283"/>
        <v>Wheat_early_forage</v>
      </c>
      <c r="AE1722" s="150" t="s">
        <v>205</v>
      </c>
      <c r="AP1722" s="35" t="s">
        <v>208</v>
      </c>
      <c r="AQ1722" s="35">
        <v>4</v>
      </c>
      <c r="AR1722" s="35">
        <v>4</v>
      </c>
      <c r="AS1722" s="35" t="s">
        <v>404</v>
      </c>
      <c r="BK1722" s="150">
        <v>2.8</v>
      </c>
      <c r="BL1722" s="150">
        <v>1.5</v>
      </c>
    </row>
    <row r="1723" spans="1:64" s="150" customFormat="1" x14ac:dyDescent="0.25">
      <c r="A1723" s="150">
        <v>82</v>
      </c>
      <c r="B1723" s="150" t="s">
        <v>1735</v>
      </c>
      <c r="C1723" s="150" t="s">
        <v>1736</v>
      </c>
      <c r="D1723" s="150">
        <v>2007</v>
      </c>
      <c r="E1723" s="150">
        <v>2001</v>
      </c>
      <c r="F1723" s="150" t="s">
        <v>1737</v>
      </c>
      <c r="G1723" s="150" t="s">
        <v>1738</v>
      </c>
      <c r="H1723" s="150">
        <v>42.74</v>
      </c>
      <c r="I1723" s="150">
        <v>-84.48</v>
      </c>
      <c r="J1723" s="150">
        <v>260</v>
      </c>
      <c r="O1723" s="151"/>
      <c r="P1723" s="151" t="s">
        <v>180</v>
      </c>
      <c r="Q1723" s="151"/>
      <c r="R1723" s="151"/>
      <c r="S1723" s="151" t="s">
        <v>1654</v>
      </c>
      <c r="T1723" s="151" t="s">
        <v>1682</v>
      </c>
      <c r="X1723" s="150" t="s">
        <v>175</v>
      </c>
      <c r="AC1723" s="150" t="s">
        <v>1831</v>
      </c>
      <c r="AD1723" s="153" t="str">
        <f t="shared" si="283"/>
        <v>Wheat_late_forage</v>
      </c>
      <c r="AE1723" s="150" t="s">
        <v>205</v>
      </c>
      <c r="AP1723" s="35" t="s">
        <v>208</v>
      </c>
      <c r="AQ1723" s="35">
        <v>4</v>
      </c>
      <c r="AR1723" s="35">
        <v>4</v>
      </c>
      <c r="AS1723" s="35" t="s">
        <v>404</v>
      </c>
      <c r="BK1723" s="150">
        <v>2.8</v>
      </c>
      <c r="BL1723" s="150">
        <v>1.5</v>
      </c>
    </row>
    <row r="1724" spans="1:64" s="150" customFormat="1" x14ac:dyDescent="0.25">
      <c r="A1724" s="150">
        <v>82</v>
      </c>
      <c r="B1724" s="150" t="s">
        <v>1735</v>
      </c>
      <c r="C1724" s="150" t="s">
        <v>1736</v>
      </c>
      <c r="D1724" s="150">
        <v>2007</v>
      </c>
      <c r="E1724" s="150">
        <v>2001</v>
      </c>
      <c r="F1724" s="150" t="s">
        <v>1737</v>
      </c>
      <c r="G1724" s="150" t="s">
        <v>1738</v>
      </c>
      <c r="H1724" s="150">
        <v>42.74</v>
      </c>
      <c r="I1724" s="150">
        <v>-84.48</v>
      </c>
      <c r="J1724" s="150">
        <v>260</v>
      </c>
      <c r="O1724" s="151"/>
      <c r="P1724" s="151" t="s">
        <v>180</v>
      </c>
      <c r="Q1724" s="151"/>
      <c r="R1724" s="151"/>
      <c r="S1724" s="151" t="s">
        <v>1654</v>
      </c>
      <c r="T1724" s="151" t="s">
        <v>1682</v>
      </c>
      <c r="X1724" s="150" t="s">
        <v>175</v>
      </c>
      <c r="AC1724" s="150" t="s">
        <v>1832</v>
      </c>
      <c r="AD1724" s="153" t="str">
        <f t="shared" si="283"/>
        <v>Wheat_early_grain</v>
      </c>
      <c r="AE1724" s="150" t="s">
        <v>205</v>
      </c>
      <c r="AP1724" s="35" t="s">
        <v>208</v>
      </c>
      <c r="AQ1724" s="35">
        <v>4</v>
      </c>
      <c r="AR1724" s="35">
        <v>4</v>
      </c>
      <c r="AS1724" s="35" t="s">
        <v>404</v>
      </c>
      <c r="BK1724" s="150">
        <v>2.8</v>
      </c>
      <c r="BL1724" s="150">
        <v>1.3</v>
      </c>
    </row>
    <row r="1725" spans="1:64" s="150" customFormat="1" x14ac:dyDescent="0.25">
      <c r="A1725" s="150">
        <v>82</v>
      </c>
      <c r="B1725" s="150" t="s">
        <v>1735</v>
      </c>
      <c r="C1725" s="150" t="s">
        <v>1736</v>
      </c>
      <c r="D1725" s="150">
        <v>2007</v>
      </c>
      <c r="E1725" s="150">
        <v>2001</v>
      </c>
      <c r="F1725" s="150" t="s">
        <v>1737</v>
      </c>
      <c r="G1725" s="150" t="s">
        <v>1738</v>
      </c>
      <c r="H1725" s="150">
        <v>42.74</v>
      </c>
      <c r="I1725" s="150">
        <v>-84.48</v>
      </c>
      <c r="J1725" s="150">
        <v>260</v>
      </c>
      <c r="O1725" s="151"/>
      <c r="P1725" s="151" t="s">
        <v>180</v>
      </c>
      <c r="Q1725" s="151"/>
      <c r="R1725" s="151"/>
      <c r="S1725" s="151" t="s">
        <v>1654</v>
      </c>
      <c r="T1725" s="151" t="s">
        <v>1682</v>
      </c>
      <c r="X1725" s="150" t="s">
        <v>175</v>
      </c>
      <c r="AC1725" s="150" t="s">
        <v>1833</v>
      </c>
      <c r="AD1725" s="153" t="str">
        <f t="shared" si="283"/>
        <v>Wheat_late_grain</v>
      </c>
      <c r="AE1725" s="150" t="s">
        <v>205</v>
      </c>
      <c r="AP1725" s="35" t="s">
        <v>208</v>
      </c>
      <c r="AQ1725" s="35">
        <v>4</v>
      </c>
      <c r="AR1725" s="35">
        <v>4</v>
      </c>
      <c r="AS1725" s="35" t="s">
        <v>404</v>
      </c>
      <c r="BK1725" s="150">
        <v>2.8</v>
      </c>
      <c r="BL1725" s="150">
        <v>1.3</v>
      </c>
    </row>
    <row r="1726" spans="1:64" s="26" customFormat="1" x14ac:dyDescent="0.25">
      <c r="A1726" s="26">
        <v>82</v>
      </c>
      <c r="B1726" s="26" t="s">
        <v>1735</v>
      </c>
      <c r="C1726" s="26" t="s">
        <v>1736</v>
      </c>
      <c r="D1726" s="26">
        <v>2007</v>
      </c>
      <c r="E1726" s="26">
        <v>2001</v>
      </c>
      <c r="F1726" s="26" t="s">
        <v>1737</v>
      </c>
      <c r="G1726" s="26" t="s">
        <v>1738</v>
      </c>
      <c r="H1726" s="26">
        <v>42.74</v>
      </c>
      <c r="I1726" s="26">
        <v>-84.48</v>
      </c>
      <c r="J1726" s="26">
        <v>260</v>
      </c>
      <c r="O1726" s="52"/>
      <c r="P1726" s="52" t="s">
        <v>180</v>
      </c>
      <c r="Q1726" s="52"/>
      <c r="R1726" s="52"/>
      <c r="S1726" s="52" t="s">
        <v>1667</v>
      </c>
      <c r="T1726" s="52" t="s">
        <v>1682</v>
      </c>
      <c r="X1726" s="26" t="s">
        <v>175</v>
      </c>
      <c r="AC1726" s="26" t="s">
        <v>150</v>
      </c>
      <c r="AD1726" s="153" t="str">
        <f t="shared" si="283"/>
        <v>Wheat</v>
      </c>
      <c r="AE1726" s="26" t="s">
        <v>205</v>
      </c>
      <c r="AP1726" s="35" t="s">
        <v>208</v>
      </c>
      <c r="AQ1726" s="35">
        <v>4</v>
      </c>
      <c r="AR1726" s="35">
        <v>4</v>
      </c>
      <c r="AS1726" s="35" t="s">
        <v>404</v>
      </c>
      <c r="BK1726" s="26">
        <v>3.4</v>
      </c>
      <c r="BL1726" s="26">
        <v>2.4</v>
      </c>
    </row>
    <row r="1727" spans="1:64" s="26" customFormat="1" x14ac:dyDescent="0.25">
      <c r="A1727" s="26">
        <v>82</v>
      </c>
      <c r="B1727" s="26" t="s">
        <v>1735</v>
      </c>
      <c r="C1727" s="26" t="s">
        <v>1736</v>
      </c>
      <c r="D1727" s="26">
        <v>2007</v>
      </c>
      <c r="E1727" s="26">
        <v>2001</v>
      </c>
      <c r="F1727" s="26" t="s">
        <v>1737</v>
      </c>
      <c r="G1727" s="26" t="s">
        <v>1738</v>
      </c>
      <c r="H1727" s="26">
        <v>42.74</v>
      </c>
      <c r="I1727" s="26">
        <v>-84.48</v>
      </c>
      <c r="J1727" s="26">
        <v>260</v>
      </c>
      <c r="O1727" s="52"/>
      <c r="P1727" s="52" t="s">
        <v>180</v>
      </c>
      <c r="Q1727" s="52"/>
      <c r="R1727" s="52"/>
      <c r="S1727" s="52" t="s">
        <v>1667</v>
      </c>
      <c r="T1727" s="52" t="s">
        <v>1682</v>
      </c>
      <c r="X1727" s="26" t="s">
        <v>175</v>
      </c>
      <c r="AC1727" s="26" t="s">
        <v>166</v>
      </c>
      <c r="AD1727" s="153" t="str">
        <f t="shared" si="283"/>
        <v>Rye</v>
      </c>
      <c r="AE1727" s="26" t="s">
        <v>205</v>
      </c>
      <c r="AP1727" s="35" t="s">
        <v>208</v>
      </c>
      <c r="AQ1727" s="35">
        <v>4</v>
      </c>
      <c r="AR1727" s="35">
        <v>4</v>
      </c>
      <c r="AS1727" s="35" t="s">
        <v>404</v>
      </c>
      <c r="BK1727" s="26">
        <v>3.4</v>
      </c>
      <c r="BL1727" s="26">
        <v>2</v>
      </c>
    </row>
    <row r="1728" spans="1:64" s="26" customFormat="1" x14ac:dyDescent="0.25">
      <c r="A1728" s="26">
        <v>82</v>
      </c>
      <c r="B1728" s="26" t="s">
        <v>1735</v>
      </c>
      <c r="C1728" s="26" t="s">
        <v>1736</v>
      </c>
      <c r="D1728" s="26">
        <v>2007</v>
      </c>
      <c r="E1728" s="26">
        <v>2001</v>
      </c>
      <c r="F1728" s="26" t="s">
        <v>1737</v>
      </c>
      <c r="G1728" s="26" t="s">
        <v>1738</v>
      </c>
      <c r="H1728" s="26">
        <v>42.74</v>
      </c>
      <c r="I1728" s="26">
        <v>-84.48</v>
      </c>
      <c r="J1728" s="26">
        <v>260</v>
      </c>
      <c r="O1728" s="52"/>
      <c r="P1728" s="52" t="s">
        <v>180</v>
      </c>
      <c r="Q1728" s="52"/>
      <c r="R1728" s="52"/>
      <c r="S1728" s="52" t="s">
        <v>1667</v>
      </c>
      <c r="T1728" s="52" t="s">
        <v>1682</v>
      </c>
      <c r="X1728" s="26" t="s">
        <v>175</v>
      </c>
      <c r="AC1728" s="26" t="s">
        <v>1829</v>
      </c>
      <c r="AD1728" s="153" t="str">
        <f t="shared" si="283"/>
        <v>Rye_forage</v>
      </c>
      <c r="AE1728" s="26" t="s">
        <v>205</v>
      </c>
      <c r="AP1728" s="35" t="s">
        <v>208</v>
      </c>
      <c r="AQ1728" s="35">
        <v>4</v>
      </c>
      <c r="AR1728" s="35">
        <v>4</v>
      </c>
      <c r="AS1728" s="35" t="s">
        <v>404</v>
      </c>
      <c r="BK1728" s="26">
        <v>3.4</v>
      </c>
      <c r="BL1728" s="26">
        <v>1.7</v>
      </c>
    </row>
    <row r="1729" spans="1:64" s="26" customFormat="1" x14ac:dyDescent="0.25">
      <c r="A1729" s="26">
        <v>82</v>
      </c>
      <c r="B1729" s="26" t="s">
        <v>1735</v>
      </c>
      <c r="C1729" s="26" t="s">
        <v>1736</v>
      </c>
      <c r="D1729" s="26">
        <v>2007</v>
      </c>
      <c r="E1729" s="26">
        <v>2001</v>
      </c>
      <c r="F1729" s="26" t="s">
        <v>1737</v>
      </c>
      <c r="G1729" s="26" t="s">
        <v>1738</v>
      </c>
      <c r="H1729" s="26">
        <v>42.74</v>
      </c>
      <c r="I1729" s="26">
        <v>-84.48</v>
      </c>
      <c r="J1729" s="26">
        <v>260</v>
      </c>
      <c r="O1729" s="52"/>
      <c r="P1729" s="52" t="s">
        <v>180</v>
      </c>
      <c r="Q1729" s="52"/>
      <c r="R1729" s="52"/>
      <c r="S1729" s="52" t="s">
        <v>1667</v>
      </c>
      <c r="T1729" s="52" t="s">
        <v>1682</v>
      </c>
      <c r="X1729" s="26" t="s">
        <v>175</v>
      </c>
      <c r="AC1729" s="26" t="s">
        <v>1830</v>
      </c>
      <c r="AD1729" s="153" t="str">
        <f t="shared" si="283"/>
        <v>Wheat_early_forage</v>
      </c>
      <c r="AE1729" s="26" t="s">
        <v>205</v>
      </c>
      <c r="AP1729" s="35" t="s">
        <v>208</v>
      </c>
      <c r="AQ1729" s="35">
        <v>4</v>
      </c>
      <c r="AR1729" s="35">
        <v>4</v>
      </c>
      <c r="AS1729" s="35" t="s">
        <v>404</v>
      </c>
      <c r="BK1729" s="26">
        <v>3.4</v>
      </c>
      <c r="BL1729" s="26">
        <v>1.3</v>
      </c>
    </row>
    <row r="1730" spans="1:64" s="26" customFormat="1" x14ac:dyDescent="0.25">
      <c r="A1730" s="26">
        <v>82</v>
      </c>
      <c r="B1730" s="26" t="s">
        <v>1735</v>
      </c>
      <c r="C1730" s="26" t="s">
        <v>1736</v>
      </c>
      <c r="D1730" s="26">
        <v>2007</v>
      </c>
      <c r="E1730" s="26">
        <v>2001</v>
      </c>
      <c r="F1730" s="26" t="s">
        <v>1737</v>
      </c>
      <c r="G1730" s="26" t="s">
        <v>1738</v>
      </c>
      <c r="H1730" s="26">
        <v>42.74</v>
      </c>
      <c r="I1730" s="26">
        <v>-84.48</v>
      </c>
      <c r="J1730" s="26">
        <v>260</v>
      </c>
      <c r="O1730" s="52"/>
      <c r="P1730" s="52" t="s">
        <v>180</v>
      </c>
      <c r="Q1730" s="52"/>
      <c r="R1730" s="52"/>
      <c r="S1730" s="52" t="s">
        <v>1667</v>
      </c>
      <c r="T1730" s="52" t="s">
        <v>1682</v>
      </c>
      <c r="X1730" s="26" t="s">
        <v>175</v>
      </c>
      <c r="AC1730" s="26" t="s">
        <v>1831</v>
      </c>
      <c r="AD1730" s="153" t="str">
        <f t="shared" si="283"/>
        <v>Wheat_late_forage</v>
      </c>
      <c r="AE1730" s="26" t="s">
        <v>205</v>
      </c>
      <c r="AP1730" s="35" t="s">
        <v>208</v>
      </c>
      <c r="AQ1730" s="35">
        <v>4</v>
      </c>
      <c r="AR1730" s="35">
        <v>4</v>
      </c>
      <c r="AS1730" s="35" t="s">
        <v>404</v>
      </c>
      <c r="BK1730" s="26">
        <v>3.4</v>
      </c>
      <c r="BL1730" s="26">
        <v>1.3</v>
      </c>
    </row>
    <row r="1731" spans="1:64" s="26" customFormat="1" x14ac:dyDescent="0.25">
      <c r="A1731" s="26">
        <v>82</v>
      </c>
      <c r="B1731" s="26" t="s">
        <v>1735</v>
      </c>
      <c r="C1731" s="26" t="s">
        <v>1736</v>
      </c>
      <c r="D1731" s="26">
        <v>2007</v>
      </c>
      <c r="E1731" s="26">
        <v>2001</v>
      </c>
      <c r="F1731" s="26" t="s">
        <v>1737</v>
      </c>
      <c r="G1731" s="26" t="s">
        <v>1738</v>
      </c>
      <c r="H1731" s="26">
        <v>42.74</v>
      </c>
      <c r="I1731" s="26">
        <v>-84.48</v>
      </c>
      <c r="J1731" s="26">
        <v>260</v>
      </c>
      <c r="O1731" s="52"/>
      <c r="P1731" s="52" t="s">
        <v>180</v>
      </c>
      <c r="Q1731" s="52"/>
      <c r="R1731" s="52"/>
      <c r="S1731" s="52" t="s">
        <v>1667</v>
      </c>
      <c r="T1731" s="52" t="s">
        <v>1682</v>
      </c>
      <c r="X1731" s="26" t="s">
        <v>175</v>
      </c>
      <c r="AC1731" s="26" t="s">
        <v>1832</v>
      </c>
      <c r="AD1731" s="153" t="str">
        <f t="shared" ref="AD1731:AD1794" si="286">IF(OR(AC1731="*Rye",AC1731="Rye*",AC1731="Downy_brome"),"Rye",IF(OR(AC1731="*Oat",AC1731="Oat*",AC1731="Trudan_8",AC1731="*Wheat",AC1731="Wheat*",AC1731="Barley*",AC1731="Hemp",AC1731="Hemp",AC1731="Triticale*",AC1731="Grass",AC1731="Millet"),"Grass",IF(OR(AC1731="*clover",AC1731="clover*",AC1731="Vetch*",AC1731="Vetch*",AC1731="Alfalfa",AC1731="Soybean",AC1731="*Lentil",AC1731="Lentil*",AC1731="*Pea",AC1731="Pea*",AC1731="Lupine"),"Legume",AC1731)))</f>
        <v>Wheat_early_grain</v>
      </c>
      <c r="AE1731" s="26" t="s">
        <v>205</v>
      </c>
      <c r="AP1731" s="35" t="s">
        <v>208</v>
      </c>
      <c r="AQ1731" s="35">
        <v>4</v>
      </c>
      <c r="AR1731" s="35">
        <v>4</v>
      </c>
      <c r="AS1731" s="35" t="s">
        <v>404</v>
      </c>
      <c r="BK1731" s="26">
        <v>3.4</v>
      </c>
      <c r="BL1731" s="26">
        <v>1.2</v>
      </c>
    </row>
    <row r="1732" spans="1:64" s="26" customFormat="1" x14ac:dyDescent="0.25">
      <c r="A1732" s="26">
        <v>82</v>
      </c>
      <c r="B1732" s="26" t="s">
        <v>1735</v>
      </c>
      <c r="C1732" s="26" t="s">
        <v>1736</v>
      </c>
      <c r="D1732" s="26">
        <v>2007</v>
      </c>
      <c r="E1732" s="26">
        <v>2001</v>
      </c>
      <c r="F1732" s="26" t="s">
        <v>1737</v>
      </c>
      <c r="G1732" s="26" t="s">
        <v>1738</v>
      </c>
      <c r="H1732" s="26">
        <v>42.74</v>
      </c>
      <c r="I1732" s="26">
        <v>-84.48</v>
      </c>
      <c r="J1732" s="26">
        <v>260</v>
      </c>
      <c r="O1732" s="52"/>
      <c r="P1732" s="52" t="s">
        <v>180</v>
      </c>
      <c r="Q1732" s="52"/>
      <c r="R1732" s="52"/>
      <c r="S1732" s="52" t="s">
        <v>1667</v>
      </c>
      <c r="T1732" s="52" t="s">
        <v>1682</v>
      </c>
      <c r="X1732" s="26" t="s">
        <v>175</v>
      </c>
      <c r="AC1732" s="26" t="s">
        <v>1833</v>
      </c>
      <c r="AD1732" s="153" t="str">
        <f t="shared" si="286"/>
        <v>Wheat_late_grain</v>
      </c>
      <c r="AE1732" s="26" t="s">
        <v>205</v>
      </c>
      <c r="AP1732" s="35" t="s">
        <v>208</v>
      </c>
      <c r="AQ1732" s="35">
        <v>4</v>
      </c>
      <c r="AR1732" s="35">
        <v>4</v>
      </c>
      <c r="AS1732" s="35" t="s">
        <v>404</v>
      </c>
      <c r="BK1732" s="26">
        <v>3.4</v>
      </c>
      <c r="BL1732" s="26">
        <v>1.2</v>
      </c>
    </row>
    <row r="1733" spans="1:64" s="150" customFormat="1" x14ac:dyDescent="0.25">
      <c r="A1733" s="150">
        <v>82</v>
      </c>
      <c r="B1733" s="150" t="s">
        <v>1735</v>
      </c>
      <c r="C1733" s="150" t="s">
        <v>1736</v>
      </c>
      <c r="D1733" s="150">
        <v>2007</v>
      </c>
      <c r="E1733" s="150">
        <v>2001</v>
      </c>
      <c r="F1733" s="150" t="s">
        <v>1737</v>
      </c>
      <c r="G1733" s="150" t="s">
        <v>1738</v>
      </c>
      <c r="H1733" s="150">
        <v>42.74</v>
      </c>
      <c r="I1733" s="150">
        <v>-84.48</v>
      </c>
      <c r="J1733" s="150">
        <v>260</v>
      </c>
      <c r="O1733" s="151"/>
      <c r="P1733" s="151" t="s">
        <v>180</v>
      </c>
      <c r="Q1733" s="151"/>
      <c r="R1733" s="151"/>
      <c r="S1733" s="151" t="s">
        <v>1668</v>
      </c>
      <c r="T1733" s="151" t="s">
        <v>1682</v>
      </c>
      <c r="X1733" s="150" t="s">
        <v>175</v>
      </c>
      <c r="AC1733" s="150" t="s">
        <v>150</v>
      </c>
      <c r="AD1733" s="153" t="str">
        <f t="shared" si="286"/>
        <v>Wheat</v>
      </c>
      <c r="AE1733" s="150" t="s">
        <v>205</v>
      </c>
      <c r="AP1733" s="35" t="s">
        <v>208</v>
      </c>
      <c r="AQ1733" s="35">
        <v>4</v>
      </c>
      <c r="AR1733" s="35">
        <v>4</v>
      </c>
      <c r="AS1733" s="35" t="s">
        <v>404</v>
      </c>
      <c r="BK1733" s="150">
        <v>2.7</v>
      </c>
      <c r="BL1733" s="150">
        <v>1.9</v>
      </c>
    </row>
    <row r="1734" spans="1:64" s="150" customFormat="1" x14ac:dyDescent="0.25">
      <c r="A1734" s="150">
        <v>82</v>
      </c>
      <c r="B1734" s="150" t="s">
        <v>1735</v>
      </c>
      <c r="C1734" s="150" t="s">
        <v>1736</v>
      </c>
      <c r="D1734" s="150">
        <v>2007</v>
      </c>
      <c r="E1734" s="150">
        <v>2001</v>
      </c>
      <c r="F1734" s="150" t="s">
        <v>1737</v>
      </c>
      <c r="G1734" s="150" t="s">
        <v>1738</v>
      </c>
      <c r="H1734" s="150">
        <v>42.74</v>
      </c>
      <c r="I1734" s="150">
        <v>-84.48</v>
      </c>
      <c r="J1734" s="150">
        <v>260</v>
      </c>
      <c r="O1734" s="151"/>
      <c r="P1734" s="151" t="s">
        <v>180</v>
      </c>
      <c r="Q1734" s="151"/>
      <c r="R1734" s="151"/>
      <c r="S1734" s="151" t="s">
        <v>1668</v>
      </c>
      <c r="T1734" s="151" t="s">
        <v>1682</v>
      </c>
      <c r="X1734" s="150" t="s">
        <v>175</v>
      </c>
      <c r="AC1734" s="150" t="s">
        <v>166</v>
      </c>
      <c r="AD1734" s="153" t="str">
        <f t="shared" si="286"/>
        <v>Rye</v>
      </c>
      <c r="AE1734" s="150" t="s">
        <v>205</v>
      </c>
      <c r="AP1734" s="35" t="s">
        <v>208</v>
      </c>
      <c r="AQ1734" s="35">
        <v>4</v>
      </c>
      <c r="AR1734" s="35">
        <v>4</v>
      </c>
      <c r="AS1734" s="35" t="s">
        <v>404</v>
      </c>
      <c r="BK1734" s="150">
        <v>2.7</v>
      </c>
      <c r="BL1734" s="150">
        <v>1.9</v>
      </c>
    </row>
    <row r="1735" spans="1:64" s="150" customFormat="1" x14ac:dyDescent="0.25">
      <c r="A1735" s="150">
        <v>82</v>
      </c>
      <c r="B1735" s="150" t="s">
        <v>1735</v>
      </c>
      <c r="C1735" s="150" t="s">
        <v>1736</v>
      </c>
      <c r="D1735" s="150">
        <v>2007</v>
      </c>
      <c r="E1735" s="150">
        <v>2001</v>
      </c>
      <c r="F1735" s="150" t="s">
        <v>1737</v>
      </c>
      <c r="G1735" s="150" t="s">
        <v>1738</v>
      </c>
      <c r="H1735" s="150">
        <v>42.74</v>
      </c>
      <c r="I1735" s="150">
        <v>-84.48</v>
      </c>
      <c r="J1735" s="150">
        <v>260</v>
      </c>
      <c r="O1735" s="151"/>
      <c r="P1735" s="151" t="s">
        <v>180</v>
      </c>
      <c r="Q1735" s="151"/>
      <c r="R1735" s="151"/>
      <c r="S1735" s="151" t="s">
        <v>1668</v>
      </c>
      <c r="T1735" s="151" t="s">
        <v>1682</v>
      </c>
      <c r="X1735" s="150" t="s">
        <v>175</v>
      </c>
      <c r="AC1735" s="150" t="s">
        <v>1829</v>
      </c>
      <c r="AD1735" s="153" t="str">
        <f t="shared" si="286"/>
        <v>Rye_forage</v>
      </c>
      <c r="AE1735" s="150" t="s">
        <v>205</v>
      </c>
      <c r="AP1735" s="35" t="s">
        <v>208</v>
      </c>
      <c r="AQ1735" s="35">
        <v>4</v>
      </c>
      <c r="AR1735" s="35">
        <v>4</v>
      </c>
      <c r="AS1735" s="35" t="s">
        <v>404</v>
      </c>
      <c r="BK1735" s="150">
        <v>2.7</v>
      </c>
      <c r="BL1735" s="150">
        <v>1.8</v>
      </c>
    </row>
    <row r="1736" spans="1:64" s="150" customFormat="1" x14ac:dyDescent="0.25">
      <c r="A1736" s="150">
        <v>82</v>
      </c>
      <c r="B1736" s="150" t="s">
        <v>1735</v>
      </c>
      <c r="C1736" s="150" t="s">
        <v>1736</v>
      </c>
      <c r="D1736" s="150">
        <v>2007</v>
      </c>
      <c r="E1736" s="150">
        <v>2001</v>
      </c>
      <c r="F1736" s="150" t="s">
        <v>1737</v>
      </c>
      <c r="G1736" s="150" t="s">
        <v>1738</v>
      </c>
      <c r="H1736" s="150">
        <v>42.74</v>
      </c>
      <c r="I1736" s="150">
        <v>-84.48</v>
      </c>
      <c r="J1736" s="150">
        <v>260</v>
      </c>
      <c r="O1736" s="151"/>
      <c r="P1736" s="151" t="s">
        <v>180</v>
      </c>
      <c r="Q1736" s="151"/>
      <c r="R1736" s="151"/>
      <c r="S1736" s="151" t="s">
        <v>1668</v>
      </c>
      <c r="T1736" s="151" t="s">
        <v>1682</v>
      </c>
      <c r="X1736" s="150" t="s">
        <v>175</v>
      </c>
      <c r="AC1736" s="150" t="s">
        <v>1830</v>
      </c>
      <c r="AD1736" s="153" t="str">
        <f t="shared" si="286"/>
        <v>Wheat_early_forage</v>
      </c>
      <c r="AE1736" s="150" t="s">
        <v>205</v>
      </c>
      <c r="AP1736" s="35" t="s">
        <v>208</v>
      </c>
      <c r="AQ1736" s="35">
        <v>4</v>
      </c>
      <c r="AR1736" s="35">
        <v>4</v>
      </c>
      <c r="AS1736" s="35" t="s">
        <v>404</v>
      </c>
      <c r="BK1736" s="150">
        <v>2.7</v>
      </c>
      <c r="BL1736" s="150">
        <v>1.7</v>
      </c>
    </row>
    <row r="1737" spans="1:64" s="150" customFormat="1" x14ac:dyDescent="0.25">
      <c r="A1737" s="150">
        <v>82</v>
      </c>
      <c r="B1737" s="150" t="s">
        <v>1735</v>
      </c>
      <c r="C1737" s="150" t="s">
        <v>1736</v>
      </c>
      <c r="D1737" s="150">
        <v>2007</v>
      </c>
      <c r="E1737" s="150">
        <v>2001</v>
      </c>
      <c r="F1737" s="150" t="s">
        <v>1737</v>
      </c>
      <c r="G1737" s="150" t="s">
        <v>1738</v>
      </c>
      <c r="H1737" s="150">
        <v>42.74</v>
      </c>
      <c r="I1737" s="150">
        <v>-84.48</v>
      </c>
      <c r="J1737" s="150">
        <v>260</v>
      </c>
      <c r="O1737" s="151"/>
      <c r="P1737" s="151" t="s">
        <v>180</v>
      </c>
      <c r="Q1737" s="151"/>
      <c r="R1737" s="151"/>
      <c r="S1737" s="151" t="s">
        <v>1668</v>
      </c>
      <c r="T1737" s="151" t="s">
        <v>1682</v>
      </c>
      <c r="X1737" s="150" t="s">
        <v>175</v>
      </c>
      <c r="AC1737" s="150" t="s">
        <v>1831</v>
      </c>
      <c r="AD1737" s="153" t="str">
        <f t="shared" si="286"/>
        <v>Wheat_late_forage</v>
      </c>
      <c r="AE1737" s="150" t="s">
        <v>205</v>
      </c>
      <c r="AP1737" s="35" t="s">
        <v>208</v>
      </c>
      <c r="AQ1737" s="35">
        <v>4</v>
      </c>
      <c r="AR1737" s="35">
        <v>4</v>
      </c>
      <c r="AS1737" s="35" t="s">
        <v>404</v>
      </c>
      <c r="BK1737" s="150">
        <v>2.7</v>
      </c>
      <c r="BL1737" s="150">
        <v>1.6</v>
      </c>
    </row>
    <row r="1738" spans="1:64" s="150" customFormat="1" x14ac:dyDescent="0.25">
      <c r="A1738" s="150">
        <v>82</v>
      </c>
      <c r="B1738" s="150" t="s">
        <v>1735</v>
      </c>
      <c r="C1738" s="150" t="s">
        <v>1736</v>
      </c>
      <c r="D1738" s="150">
        <v>2007</v>
      </c>
      <c r="E1738" s="150">
        <v>2001</v>
      </c>
      <c r="F1738" s="150" t="s">
        <v>1737</v>
      </c>
      <c r="G1738" s="150" t="s">
        <v>1738</v>
      </c>
      <c r="H1738" s="150">
        <v>42.74</v>
      </c>
      <c r="I1738" s="150">
        <v>-84.48</v>
      </c>
      <c r="J1738" s="150">
        <v>260</v>
      </c>
      <c r="O1738" s="151"/>
      <c r="P1738" s="151" t="s">
        <v>180</v>
      </c>
      <c r="Q1738" s="151"/>
      <c r="R1738" s="151"/>
      <c r="S1738" s="151" t="s">
        <v>1668</v>
      </c>
      <c r="T1738" s="151" t="s">
        <v>1682</v>
      </c>
      <c r="X1738" s="150" t="s">
        <v>175</v>
      </c>
      <c r="AC1738" s="150" t="s">
        <v>1832</v>
      </c>
      <c r="AD1738" s="153" t="str">
        <f t="shared" si="286"/>
        <v>Wheat_early_grain</v>
      </c>
      <c r="AE1738" s="150" t="s">
        <v>205</v>
      </c>
      <c r="AP1738" s="35" t="s">
        <v>208</v>
      </c>
      <c r="AQ1738" s="35">
        <v>4</v>
      </c>
      <c r="AR1738" s="35">
        <v>4</v>
      </c>
      <c r="AS1738" s="35" t="s">
        <v>404</v>
      </c>
      <c r="BK1738" s="150">
        <v>2.7</v>
      </c>
      <c r="BL1738" s="150">
        <v>1.6</v>
      </c>
    </row>
    <row r="1739" spans="1:64" s="150" customFormat="1" x14ac:dyDescent="0.25">
      <c r="A1739" s="150">
        <v>82</v>
      </c>
      <c r="B1739" s="150" t="s">
        <v>1735</v>
      </c>
      <c r="C1739" s="150" t="s">
        <v>1736</v>
      </c>
      <c r="D1739" s="150">
        <v>2007</v>
      </c>
      <c r="E1739" s="150">
        <v>2001</v>
      </c>
      <c r="F1739" s="150" t="s">
        <v>1737</v>
      </c>
      <c r="G1739" s="150" t="s">
        <v>1738</v>
      </c>
      <c r="H1739" s="150">
        <v>42.74</v>
      </c>
      <c r="I1739" s="150">
        <v>-84.48</v>
      </c>
      <c r="J1739" s="150">
        <v>260</v>
      </c>
      <c r="O1739" s="151"/>
      <c r="P1739" s="151" t="s">
        <v>180</v>
      </c>
      <c r="Q1739" s="151"/>
      <c r="R1739" s="151"/>
      <c r="S1739" s="151" t="s">
        <v>1668</v>
      </c>
      <c r="T1739" s="151" t="s">
        <v>1682</v>
      </c>
      <c r="X1739" s="150" t="s">
        <v>175</v>
      </c>
      <c r="AC1739" s="150" t="s">
        <v>1833</v>
      </c>
      <c r="AD1739" s="153" t="str">
        <f t="shared" si="286"/>
        <v>Wheat_late_grain</v>
      </c>
      <c r="AE1739" s="150" t="s">
        <v>205</v>
      </c>
      <c r="AP1739" s="35" t="s">
        <v>208</v>
      </c>
      <c r="AQ1739" s="35">
        <v>4</v>
      </c>
      <c r="AR1739" s="35">
        <v>4</v>
      </c>
      <c r="AS1739" s="35" t="s">
        <v>404</v>
      </c>
      <c r="BK1739" s="150">
        <v>2.7</v>
      </c>
      <c r="BL1739" s="150">
        <v>1.6</v>
      </c>
    </row>
    <row r="1740" spans="1:64" s="35" customFormat="1" x14ac:dyDescent="0.25">
      <c r="A1740" s="35">
        <v>82</v>
      </c>
      <c r="B1740" s="35" t="s">
        <v>1735</v>
      </c>
      <c r="C1740" s="35" t="s">
        <v>1736</v>
      </c>
      <c r="D1740" s="35">
        <v>2007</v>
      </c>
      <c r="E1740" s="35">
        <v>2000</v>
      </c>
      <c r="F1740" s="35" t="s">
        <v>1737</v>
      </c>
      <c r="G1740" s="35" t="s">
        <v>1738</v>
      </c>
      <c r="H1740" s="35">
        <v>42.74</v>
      </c>
      <c r="I1740" s="35">
        <v>-84.48</v>
      </c>
      <c r="J1740" s="35">
        <v>260</v>
      </c>
      <c r="O1740" s="54"/>
      <c r="P1740" s="54" t="s">
        <v>179</v>
      </c>
      <c r="Q1740" s="54"/>
      <c r="R1740" s="54"/>
      <c r="S1740" s="54" t="s">
        <v>1654</v>
      </c>
      <c r="T1740" s="54" t="s">
        <v>1682</v>
      </c>
      <c r="X1740" s="35" t="s">
        <v>175</v>
      </c>
      <c r="AC1740" s="35" t="s">
        <v>150</v>
      </c>
      <c r="AD1740" s="153" t="str">
        <f t="shared" si="286"/>
        <v>Wheat</v>
      </c>
      <c r="AE1740" s="35" t="s">
        <v>167</v>
      </c>
      <c r="AP1740" s="35" t="s">
        <v>208</v>
      </c>
      <c r="AQ1740" s="35">
        <v>4</v>
      </c>
      <c r="AR1740" s="35">
        <v>4</v>
      </c>
      <c r="AS1740" s="35" t="s">
        <v>404</v>
      </c>
      <c r="BK1740" s="35">
        <v>6.1</v>
      </c>
      <c r="BL1740" s="35">
        <v>6.4</v>
      </c>
    </row>
    <row r="1741" spans="1:64" s="35" customFormat="1" x14ac:dyDescent="0.25">
      <c r="A1741" s="35">
        <v>82</v>
      </c>
      <c r="B1741" s="35" t="s">
        <v>1735</v>
      </c>
      <c r="C1741" s="35" t="s">
        <v>1736</v>
      </c>
      <c r="D1741" s="35">
        <v>2007</v>
      </c>
      <c r="E1741" s="35">
        <v>2000</v>
      </c>
      <c r="F1741" s="35" t="s">
        <v>1737</v>
      </c>
      <c r="G1741" s="35" t="s">
        <v>1738</v>
      </c>
      <c r="H1741" s="35">
        <v>42.74</v>
      </c>
      <c r="I1741" s="35">
        <v>-84.48</v>
      </c>
      <c r="J1741" s="35">
        <v>260</v>
      </c>
      <c r="O1741" s="54"/>
      <c r="P1741" s="54" t="s">
        <v>179</v>
      </c>
      <c r="Q1741" s="54"/>
      <c r="R1741" s="54"/>
      <c r="S1741" s="54" t="s">
        <v>1654</v>
      </c>
      <c r="T1741" s="54" t="s">
        <v>1682</v>
      </c>
      <c r="X1741" s="35" t="s">
        <v>175</v>
      </c>
      <c r="AC1741" s="35" t="s">
        <v>166</v>
      </c>
      <c r="AD1741" s="153" t="str">
        <f t="shared" si="286"/>
        <v>Rye</v>
      </c>
      <c r="AE1741" s="35" t="s">
        <v>167</v>
      </c>
      <c r="AP1741" s="35" t="s">
        <v>208</v>
      </c>
      <c r="AQ1741" s="35">
        <v>4</v>
      </c>
      <c r="AR1741" s="35">
        <v>4</v>
      </c>
      <c r="AS1741" s="35" t="s">
        <v>404</v>
      </c>
      <c r="BK1741" s="35">
        <v>6.1</v>
      </c>
      <c r="BL1741" s="35">
        <v>6.5</v>
      </c>
    </row>
    <row r="1742" spans="1:64" s="35" customFormat="1" x14ac:dyDescent="0.25">
      <c r="A1742" s="35">
        <v>82</v>
      </c>
      <c r="B1742" s="35" t="s">
        <v>1735</v>
      </c>
      <c r="C1742" s="35" t="s">
        <v>1736</v>
      </c>
      <c r="D1742" s="35">
        <v>2007</v>
      </c>
      <c r="E1742" s="35">
        <v>2000</v>
      </c>
      <c r="F1742" s="35" t="s">
        <v>1737</v>
      </c>
      <c r="G1742" s="35" t="s">
        <v>1738</v>
      </c>
      <c r="H1742" s="35">
        <v>42.74</v>
      </c>
      <c r="I1742" s="35">
        <v>-84.48</v>
      </c>
      <c r="J1742" s="35">
        <v>260</v>
      </c>
      <c r="O1742" s="54"/>
      <c r="P1742" s="54" t="s">
        <v>179</v>
      </c>
      <c r="Q1742" s="54"/>
      <c r="R1742" s="54"/>
      <c r="S1742" s="54" t="s">
        <v>1654</v>
      </c>
      <c r="T1742" s="54" t="s">
        <v>1682</v>
      </c>
      <c r="X1742" s="35" t="s">
        <v>175</v>
      </c>
      <c r="AC1742" s="35" t="s">
        <v>1829</v>
      </c>
      <c r="AD1742" s="153" t="str">
        <f t="shared" si="286"/>
        <v>Rye_forage</v>
      </c>
      <c r="AE1742" s="35" t="s">
        <v>167</v>
      </c>
      <c r="AP1742" s="35" t="s">
        <v>208</v>
      </c>
      <c r="AQ1742" s="35">
        <v>4</v>
      </c>
      <c r="AR1742" s="35">
        <v>4</v>
      </c>
      <c r="AS1742" s="35" t="s">
        <v>404</v>
      </c>
      <c r="BK1742" s="35">
        <v>6.1</v>
      </c>
      <c r="BL1742" s="35">
        <v>9.1</v>
      </c>
    </row>
    <row r="1743" spans="1:64" s="35" customFormat="1" x14ac:dyDescent="0.25">
      <c r="A1743" s="35">
        <v>82</v>
      </c>
      <c r="B1743" s="35" t="s">
        <v>1735</v>
      </c>
      <c r="C1743" s="35" t="s">
        <v>1736</v>
      </c>
      <c r="D1743" s="35">
        <v>2007</v>
      </c>
      <c r="E1743" s="35">
        <v>2000</v>
      </c>
      <c r="F1743" s="35" t="s">
        <v>1737</v>
      </c>
      <c r="G1743" s="35" t="s">
        <v>1738</v>
      </c>
      <c r="H1743" s="35">
        <v>42.74</v>
      </c>
      <c r="I1743" s="35">
        <v>-84.48</v>
      </c>
      <c r="J1743" s="35">
        <v>260</v>
      </c>
      <c r="O1743" s="54"/>
      <c r="P1743" s="54" t="s">
        <v>179</v>
      </c>
      <c r="Q1743" s="54"/>
      <c r="R1743" s="54"/>
      <c r="S1743" s="54" t="s">
        <v>1654</v>
      </c>
      <c r="T1743" s="54" t="s">
        <v>1682</v>
      </c>
      <c r="X1743" s="35" t="s">
        <v>175</v>
      </c>
      <c r="AC1743" s="35" t="s">
        <v>1830</v>
      </c>
      <c r="AD1743" s="153" t="str">
        <f t="shared" si="286"/>
        <v>Wheat_early_forage</v>
      </c>
      <c r="AE1743" s="35" t="s">
        <v>167</v>
      </c>
      <c r="AP1743" s="35" t="s">
        <v>208</v>
      </c>
      <c r="AQ1743" s="35">
        <v>4</v>
      </c>
      <c r="AR1743" s="35">
        <v>4</v>
      </c>
      <c r="AS1743" s="35" t="s">
        <v>404</v>
      </c>
      <c r="BK1743" s="35">
        <v>6.1</v>
      </c>
      <c r="BL1743" s="35">
        <v>6.7</v>
      </c>
    </row>
    <row r="1744" spans="1:64" s="35" customFormat="1" x14ac:dyDescent="0.25">
      <c r="A1744" s="35">
        <v>82</v>
      </c>
      <c r="B1744" s="35" t="s">
        <v>1735</v>
      </c>
      <c r="C1744" s="35" t="s">
        <v>1736</v>
      </c>
      <c r="D1744" s="35">
        <v>2007</v>
      </c>
      <c r="E1744" s="35">
        <v>2000</v>
      </c>
      <c r="F1744" s="35" t="s">
        <v>1737</v>
      </c>
      <c r="G1744" s="35" t="s">
        <v>1738</v>
      </c>
      <c r="H1744" s="35">
        <v>42.74</v>
      </c>
      <c r="I1744" s="35">
        <v>-84.48</v>
      </c>
      <c r="J1744" s="35">
        <v>260</v>
      </c>
      <c r="O1744" s="54"/>
      <c r="P1744" s="54" t="s">
        <v>179</v>
      </c>
      <c r="Q1744" s="54"/>
      <c r="R1744" s="54"/>
      <c r="S1744" s="54" t="s">
        <v>1654</v>
      </c>
      <c r="T1744" s="54" t="s">
        <v>1682</v>
      </c>
      <c r="X1744" s="35" t="s">
        <v>175</v>
      </c>
      <c r="AC1744" s="35" t="s">
        <v>1831</v>
      </c>
      <c r="AD1744" s="153" t="str">
        <f t="shared" si="286"/>
        <v>Wheat_late_forage</v>
      </c>
      <c r="AE1744" s="35" t="s">
        <v>167</v>
      </c>
      <c r="AP1744" s="35" t="s">
        <v>208</v>
      </c>
      <c r="AQ1744" s="35">
        <v>4</v>
      </c>
      <c r="AR1744" s="35">
        <v>4</v>
      </c>
      <c r="AS1744" s="35" t="s">
        <v>404</v>
      </c>
      <c r="BK1744" s="35">
        <v>6.1</v>
      </c>
      <c r="BL1744" s="35">
        <v>5.7</v>
      </c>
    </row>
    <row r="1745" spans="1:64" s="35" customFormat="1" x14ac:dyDescent="0.25">
      <c r="A1745" s="35">
        <v>82</v>
      </c>
      <c r="B1745" s="35" t="s">
        <v>1735</v>
      </c>
      <c r="C1745" s="35" t="s">
        <v>1736</v>
      </c>
      <c r="D1745" s="35">
        <v>2007</v>
      </c>
      <c r="E1745" s="35">
        <v>2000</v>
      </c>
      <c r="F1745" s="35" t="s">
        <v>1737</v>
      </c>
      <c r="G1745" s="35" t="s">
        <v>1738</v>
      </c>
      <c r="H1745" s="35">
        <v>42.74</v>
      </c>
      <c r="I1745" s="35">
        <v>-84.48</v>
      </c>
      <c r="J1745" s="35">
        <v>260</v>
      </c>
      <c r="O1745" s="54"/>
      <c r="P1745" s="54" t="s">
        <v>179</v>
      </c>
      <c r="Q1745" s="54"/>
      <c r="R1745" s="54"/>
      <c r="S1745" s="54" t="s">
        <v>1654</v>
      </c>
      <c r="T1745" s="54" t="s">
        <v>1682</v>
      </c>
      <c r="X1745" s="35" t="s">
        <v>175</v>
      </c>
      <c r="AC1745" s="35" t="s">
        <v>1832</v>
      </c>
      <c r="AD1745" s="153" t="str">
        <f t="shared" si="286"/>
        <v>Wheat_early_grain</v>
      </c>
      <c r="AE1745" s="35" t="s">
        <v>167</v>
      </c>
      <c r="AP1745" s="35" t="s">
        <v>208</v>
      </c>
      <c r="AQ1745" s="35">
        <v>4</v>
      </c>
      <c r="AR1745" s="35">
        <v>4</v>
      </c>
      <c r="AS1745" s="35" t="s">
        <v>404</v>
      </c>
      <c r="BK1745" s="35">
        <v>6.1</v>
      </c>
      <c r="BL1745" s="35">
        <v>5</v>
      </c>
    </row>
    <row r="1746" spans="1:64" s="35" customFormat="1" x14ac:dyDescent="0.25">
      <c r="A1746" s="35">
        <v>82</v>
      </c>
      <c r="B1746" s="35" t="s">
        <v>1735</v>
      </c>
      <c r="C1746" s="35" t="s">
        <v>1736</v>
      </c>
      <c r="D1746" s="35">
        <v>2007</v>
      </c>
      <c r="E1746" s="35">
        <v>2000</v>
      </c>
      <c r="F1746" s="35" t="s">
        <v>1737</v>
      </c>
      <c r="G1746" s="35" t="s">
        <v>1738</v>
      </c>
      <c r="H1746" s="35">
        <v>42.74</v>
      </c>
      <c r="I1746" s="35">
        <v>-84.48</v>
      </c>
      <c r="J1746" s="35">
        <v>260</v>
      </c>
      <c r="O1746" s="54"/>
      <c r="P1746" s="54" t="s">
        <v>179</v>
      </c>
      <c r="Q1746" s="54"/>
      <c r="R1746" s="54"/>
      <c r="S1746" s="54" t="s">
        <v>1654</v>
      </c>
      <c r="T1746" s="54" t="s">
        <v>1682</v>
      </c>
      <c r="X1746" s="35" t="s">
        <v>175</v>
      </c>
      <c r="AC1746" s="35" t="s">
        <v>1833</v>
      </c>
      <c r="AD1746" s="153" t="str">
        <f t="shared" si="286"/>
        <v>Wheat_late_grain</v>
      </c>
      <c r="AE1746" s="35" t="s">
        <v>167</v>
      </c>
      <c r="AP1746" s="35" t="s">
        <v>208</v>
      </c>
      <c r="AQ1746" s="35">
        <v>4</v>
      </c>
      <c r="AR1746" s="35">
        <v>4</v>
      </c>
      <c r="AS1746" s="35" t="s">
        <v>404</v>
      </c>
      <c r="BK1746" s="35">
        <v>6.1</v>
      </c>
      <c r="BL1746" s="35">
        <v>4.5999999999999996</v>
      </c>
    </row>
    <row r="1747" spans="1:64" s="148" customFormat="1" x14ac:dyDescent="0.25">
      <c r="A1747" s="148">
        <v>82</v>
      </c>
      <c r="B1747" s="148" t="s">
        <v>1735</v>
      </c>
      <c r="C1747" s="148" t="s">
        <v>1736</v>
      </c>
      <c r="D1747" s="148">
        <v>2007</v>
      </c>
      <c r="E1747" s="148">
        <v>2000</v>
      </c>
      <c r="F1747" s="148" t="s">
        <v>1737</v>
      </c>
      <c r="G1747" s="148" t="s">
        <v>1738</v>
      </c>
      <c r="H1747" s="148">
        <v>42.74</v>
      </c>
      <c r="I1747" s="148">
        <v>-84.48</v>
      </c>
      <c r="J1747" s="148">
        <v>260</v>
      </c>
      <c r="O1747" s="149"/>
      <c r="P1747" s="149" t="s">
        <v>179</v>
      </c>
      <c r="Q1747" s="149"/>
      <c r="R1747" s="149"/>
      <c r="S1747" s="149" t="s">
        <v>1667</v>
      </c>
      <c r="T1747" s="149" t="s">
        <v>1682</v>
      </c>
      <c r="X1747" s="148" t="s">
        <v>175</v>
      </c>
      <c r="AC1747" s="148" t="s">
        <v>150</v>
      </c>
      <c r="AD1747" s="153" t="str">
        <f t="shared" si="286"/>
        <v>Wheat</v>
      </c>
      <c r="AE1747" s="148" t="s">
        <v>167</v>
      </c>
      <c r="AP1747" s="35" t="s">
        <v>208</v>
      </c>
      <c r="AQ1747" s="35">
        <v>4</v>
      </c>
      <c r="AR1747" s="35">
        <v>4</v>
      </c>
      <c r="AS1747" s="35" t="s">
        <v>404</v>
      </c>
      <c r="BK1747" s="148">
        <v>5.7</v>
      </c>
      <c r="BL1747" s="148">
        <v>5.3</v>
      </c>
    </row>
    <row r="1748" spans="1:64" s="148" customFormat="1" x14ac:dyDescent="0.25">
      <c r="A1748" s="148">
        <v>82</v>
      </c>
      <c r="B1748" s="148" t="s">
        <v>1735</v>
      </c>
      <c r="C1748" s="148" t="s">
        <v>1736</v>
      </c>
      <c r="D1748" s="148">
        <v>2007</v>
      </c>
      <c r="E1748" s="148">
        <v>2000</v>
      </c>
      <c r="F1748" s="148" t="s">
        <v>1737</v>
      </c>
      <c r="G1748" s="148" t="s">
        <v>1738</v>
      </c>
      <c r="H1748" s="148">
        <v>42.74</v>
      </c>
      <c r="I1748" s="148">
        <v>-84.48</v>
      </c>
      <c r="J1748" s="148">
        <v>260</v>
      </c>
      <c r="O1748" s="149"/>
      <c r="P1748" s="149" t="s">
        <v>179</v>
      </c>
      <c r="Q1748" s="149"/>
      <c r="R1748" s="149"/>
      <c r="S1748" s="149" t="s">
        <v>1667</v>
      </c>
      <c r="T1748" s="149" t="s">
        <v>1682</v>
      </c>
      <c r="X1748" s="148" t="s">
        <v>175</v>
      </c>
      <c r="AC1748" s="148" t="s">
        <v>166</v>
      </c>
      <c r="AD1748" s="153" t="str">
        <f t="shared" si="286"/>
        <v>Rye</v>
      </c>
      <c r="AE1748" s="148" t="s">
        <v>167</v>
      </c>
      <c r="AP1748" s="35" t="s">
        <v>208</v>
      </c>
      <c r="AQ1748" s="35">
        <v>4</v>
      </c>
      <c r="AR1748" s="35">
        <v>4</v>
      </c>
      <c r="AS1748" s="35" t="s">
        <v>404</v>
      </c>
      <c r="BK1748" s="148">
        <v>5.7</v>
      </c>
      <c r="BL1748" s="148">
        <v>4.4000000000000004</v>
      </c>
    </row>
    <row r="1749" spans="1:64" s="148" customFormat="1" x14ac:dyDescent="0.25">
      <c r="A1749" s="148">
        <v>82</v>
      </c>
      <c r="B1749" s="148" t="s">
        <v>1735</v>
      </c>
      <c r="C1749" s="148" t="s">
        <v>1736</v>
      </c>
      <c r="D1749" s="148">
        <v>2007</v>
      </c>
      <c r="E1749" s="148">
        <v>2000</v>
      </c>
      <c r="F1749" s="148" t="s">
        <v>1737</v>
      </c>
      <c r="G1749" s="148" t="s">
        <v>1738</v>
      </c>
      <c r="H1749" s="148">
        <v>42.74</v>
      </c>
      <c r="I1749" s="148">
        <v>-84.48</v>
      </c>
      <c r="J1749" s="148">
        <v>260</v>
      </c>
      <c r="O1749" s="149"/>
      <c r="P1749" s="149" t="s">
        <v>179</v>
      </c>
      <c r="Q1749" s="149"/>
      <c r="R1749" s="149"/>
      <c r="S1749" s="149" t="s">
        <v>1667</v>
      </c>
      <c r="T1749" s="149" t="s">
        <v>1682</v>
      </c>
      <c r="X1749" s="148" t="s">
        <v>175</v>
      </c>
      <c r="AC1749" s="148" t="s">
        <v>1829</v>
      </c>
      <c r="AD1749" s="153" t="str">
        <f t="shared" si="286"/>
        <v>Rye_forage</v>
      </c>
      <c r="AE1749" s="148" t="s">
        <v>167</v>
      </c>
      <c r="AP1749" s="35" t="s">
        <v>208</v>
      </c>
      <c r="AQ1749" s="35">
        <v>4</v>
      </c>
      <c r="AR1749" s="35">
        <v>4</v>
      </c>
      <c r="AS1749" s="35" t="s">
        <v>404</v>
      </c>
      <c r="BK1749" s="148">
        <v>5.7</v>
      </c>
      <c r="BL1749" s="148">
        <v>3.2</v>
      </c>
    </row>
    <row r="1750" spans="1:64" s="148" customFormat="1" x14ac:dyDescent="0.25">
      <c r="A1750" s="148">
        <v>82</v>
      </c>
      <c r="B1750" s="148" t="s">
        <v>1735</v>
      </c>
      <c r="C1750" s="148" t="s">
        <v>1736</v>
      </c>
      <c r="D1750" s="148">
        <v>2007</v>
      </c>
      <c r="E1750" s="148">
        <v>2000</v>
      </c>
      <c r="F1750" s="148" t="s">
        <v>1737</v>
      </c>
      <c r="G1750" s="148" t="s">
        <v>1738</v>
      </c>
      <c r="H1750" s="148">
        <v>42.74</v>
      </c>
      <c r="I1750" s="148">
        <v>-84.48</v>
      </c>
      <c r="J1750" s="148">
        <v>260</v>
      </c>
      <c r="O1750" s="149"/>
      <c r="P1750" s="149" t="s">
        <v>179</v>
      </c>
      <c r="Q1750" s="149"/>
      <c r="R1750" s="149"/>
      <c r="S1750" s="149" t="s">
        <v>1667</v>
      </c>
      <c r="T1750" s="149" t="s">
        <v>1682</v>
      </c>
      <c r="X1750" s="148" t="s">
        <v>175</v>
      </c>
      <c r="AC1750" s="148" t="s">
        <v>1830</v>
      </c>
      <c r="AD1750" s="153" t="str">
        <f t="shared" si="286"/>
        <v>Wheat_early_forage</v>
      </c>
      <c r="AE1750" s="148" t="s">
        <v>167</v>
      </c>
      <c r="AP1750" s="35" t="s">
        <v>208</v>
      </c>
      <c r="AQ1750" s="35">
        <v>4</v>
      </c>
      <c r="AR1750" s="35">
        <v>4</v>
      </c>
      <c r="AS1750" s="35" t="s">
        <v>404</v>
      </c>
      <c r="BK1750" s="148">
        <v>5.7</v>
      </c>
      <c r="BL1750" s="148">
        <v>3.3</v>
      </c>
    </row>
    <row r="1751" spans="1:64" s="148" customFormat="1" x14ac:dyDescent="0.25">
      <c r="A1751" s="148">
        <v>82</v>
      </c>
      <c r="B1751" s="148" t="s">
        <v>1735</v>
      </c>
      <c r="C1751" s="148" t="s">
        <v>1736</v>
      </c>
      <c r="D1751" s="148">
        <v>2007</v>
      </c>
      <c r="E1751" s="148">
        <v>2000</v>
      </c>
      <c r="F1751" s="148" t="s">
        <v>1737</v>
      </c>
      <c r="G1751" s="148" t="s">
        <v>1738</v>
      </c>
      <c r="H1751" s="148">
        <v>42.74</v>
      </c>
      <c r="I1751" s="148">
        <v>-84.48</v>
      </c>
      <c r="J1751" s="148">
        <v>260</v>
      </c>
      <c r="O1751" s="149"/>
      <c r="P1751" s="149" t="s">
        <v>179</v>
      </c>
      <c r="Q1751" s="149"/>
      <c r="R1751" s="149"/>
      <c r="S1751" s="149" t="s">
        <v>1667</v>
      </c>
      <c r="T1751" s="149" t="s">
        <v>1682</v>
      </c>
      <c r="X1751" s="148" t="s">
        <v>175</v>
      </c>
      <c r="AC1751" s="148" t="s">
        <v>1831</v>
      </c>
      <c r="AD1751" s="153" t="str">
        <f t="shared" si="286"/>
        <v>Wheat_late_forage</v>
      </c>
      <c r="AE1751" s="148" t="s">
        <v>167</v>
      </c>
      <c r="AP1751" s="35" t="s">
        <v>208</v>
      </c>
      <c r="AQ1751" s="35">
        <v>4</v>
      </c>
      <c r="AR1751" s="35">
        <v>4</v>
      </c>
      <c r="AS1751" s="35" t="s">
        <v>404</v>
      </c>
      <c r="BK1751" s="148">
        <v>5.7</v>
      </c>
      <c r="BL1751" s="148">
        <v>2.2999999999999998</v>
      </c>
    </row>
    <row r="1752" spans="1:64" s="148" customFormat="1" x14ac:dyDescent="0.25">
      <c r="A1752" s="148">
        <v>82</v>
      </c>
      <c r="B1752" s="148" t="s">
        <v>1735</v>
      </c>
      <c r="C1752" s="148" t="s">
        <v>1736</v>
      </c>
      <c r="D1752" s="148">
        <v>2007</v>
      </c>
      <c r="E1752" s="148">
        <v>2000</v>
      </c>
      <c r="F1752" s="148" t="s">
        <v>1737</v>
      </c>
      <c r="G1752" s="148" t="s">
        <v>1738</v>
      </c>
      <c r="H1752" s="148">
        <v>42.74</v>
      </c>
      <c r="I1752" s="148">
        <v>-84.48</v>
      </c>
      <c r="J1752" s="148">
        <v>260</v>
      </c>
      <c r="O1752" s="149"/>
      <c r="P1752" s="149" t="s">
        <v>179</v>
      </c>
      <c r="Q1752" s="149"/>
      <c r="R1752" s="149"/>
      <c r="S1752" s="149" t="s">
        <v>1667</v>
      </c>
      <c r="T1752" s="149" t="s">
        <v>1682</v>
      </c>
      <c r="X1752" s="148" t="s">
        <v>175</v>
      </c>
      <c r="AC1752" s="148" t="s">
        <v>1832</v>
      </c>
      <c r="AD1752" s="153" t="str">
        <f t="shared" si="286"/>
        <v>Wheat_early_grain</v>
      </c>
      <c r="AE1752" s="148" t="s">
        <v>167</v>
      </c>
      <c r="AP1752" s="35" t="s">
        <v>208</v>
      </c>
      <c r="AQ1752" s="35">
        <v>4</v>
      </c>
      <c r="AR1752" s="35">
        <v>4</v>
      </c>
      <c r="AS1752" s="35" t="s">
        <v>404</v>
      </c>
      <c r="BK1752" s="148">
        <v>5.7</v>
      </c>
      <c r="BL1752" s="148">
        <v>2.5</v>
      </c>
    </row>
    <row r="1753" spans="1:64" s="148" customFormat="1" x14ac:dyDescent="0.25">
      <c r="A1753" s="148">
        <v>82</v>
      </c>
      <c r="B1753" s="148" t="s">
        <v>1735</v>
      </c>
      <c r="C1753" s="148" t="s">
        <v>1736</v>
      </c>
      <c r="D1753" s="148">
        <v>2007</v>
      </c>
      <c r="E1753" s="148">
        <v>2000</v>
      </c>
      <c r="F1753" s="148" t="s">
        <v>1737</v>
      </c>
      <c r="G1753" s="148" t="s">
        <v>1738</v>
      </c>
      <c r="H1753" s="148">
        <v>42.74</v>
      </c>
      <c r="I1753" s="148">
        <v>-84.48</v>
      </c>
      <c r="J1753" s="148">
        <v>260</v>
      </c>
      <c r="O1753" s="149"/>
      <c r="P1753" s="149" t="s">
        <v>179</v>
      </c>
      <c r="Q1753" s="149"/>
      <c r="R1753" s="149"/>
      <c r="S1753" s="149" t="s">
        <v>1667</v>
      </c>
      <c r="T1753" s="149" t="s">
        <v>1682</v>
      </c>
      <c r="X1753" s="148" t="s">
        <v>175</v>
      </c>
      <c r="AC1753" s="148" t="s">
        <v>1833</v>
      </c>
      <c r="AD1753" s="153" t="str">
        <f t="shared" si="286"/>
        <v>Wheat_late_grain</v>
      </c>
      <c r="AE1753" s="148" t="s">
        <v>167</v>
      </c>
      <c r="AP1753" s="35" t="s">
        <v>208</v>
      </c>
      <c r="AQ1753" s="35">
        <v>4</v>
      </c>
      <c r="AR1753" s="35">
        <v>4</v>
      </c>
      <c r="AS1753" s="35" t="s">
        <v>404</v>
      </c>
      <c r="BK1753" s="148">
        <v>5.7</v>
      </c>
      <c r="BL1753" s="148">
        <v>1.8</v>
      </c>
    </row>
    <row r="1754" spans="1:64" s="35" customFormat="1" x14ac:dyDescent="0.25">
      <c r="A1754" s="35">
        <v>82</v>
      </c>
      <c r="B1754" s="35" t="s">
        <v>1735</v>
      </c>
      <c r="C1754" s="35" t="s">
        <v>1736</v>
      </c>
      <c r="D1754" s="35">
        <v>2007</v>
      </c>
      <c r="E1754" s="35">
        <v>2000</v>
      </c>
      <c r="F1754" s="35" t="s">
        <v>1737</v>
      </c>
      <c r="G1754" s="35" t="s">
        <v>1738</v>
      </c>
      <c r="H1754" s="35">
        <v>42.74</v>
      </c>
      <c r="I1754" s="35">
        <v>-84.48</v>
      </c>
      <c r="J1754" s="35">
        <v>260</v>
      </c>
      <c r="O1754" s="54"/>
      <c r="P1754" s="54" t="s">
        <v>179</v>
      </c>
      <c r="Q1754" s="54"/>
      <c r="R1754" s="54"/>
      <c r="S1754" s="54" t="s">
        <v>1668</v>
      </c>
      <c r="T1754" s="54" t="s">
        <v>1682</v>
      </c>
      <c r="X1754" s="35" t="s">
        <v>175</v>
      </c>
      <c r="AC1754" s="35" t="s">
        <v>150</v>
      </c>
      <c r="AD1754" s="153" t="str">
        <f t="shared" si="286"/>
        <v>Wheat</v>
      </c>
      <c r="AE1754" s="35" t="s">
        <v>167</v>
      </c>
      <c r="AP1754" s="35" t="s">
        <v>208</v>
      </c>
      <c r="AQ1754" s="35">
        <v>4</v>
      </c>
      <c r="AR1754" s="35">
        <v>4</v>
      </c>
      <c r="AS1754" s="35" t="s">
        <v>404</v>
      </c>
      <c r="BK1754" s="35">
        <v>7.8</v>
      </c>
      <c r="BL1754" s="35">
        <v>4.0999999999999996</v>
      </c>
    </row>
    <row r="1755" spans="1:64" s="35" customFormat="1" x14ac:dyDescent="0.25">
      <c r="A1755" s="35">
        <v>82</v>
      </c>
      <c r="B1755" s="35" t="s">
        <v>1735</v>
      </c>
      <c r="C1755" s="35" t="s">
        <v>1736</v>
      </c>
      <c r="D1755" s="35">
        <v>2007</v>
      </c>
      <c r="E1755" s="35">
        <v>2000</v>
      </c>
      <c r="F1755" s="35" t="s">
        <v>1737</v>
      </c>
      <c r="G1755" s="35" t="s">
        <v>1738</v>
      </c>
      <c r="H1755" s="35">
        <v>42.74</v>
      </c>
      <c r="I1755" s="35">
        <v>-84.48</v>
      </c>
      <c r="J1755" s="35">
        <v>260</v>
      </c>
      <c r="O1755" s="54"/>
      <c r="P1755" s="54" t="s">
        <v>179</v>
      </c>
      <c r="Q1755" s="54"/>
      <c r="R1755" s="54"/>
      <c r="S1755" s="54" t="s">
        <v>1668</v>
      </c>
      <c r="T1755" s="54" t="s">
        <v>1682</v>
      </c>
      <c r="X1755" s="35" t="s">
        <v>175</v>
      </c>
      <c r="AC1755" s="35" t="s">
        <v>166</v>
      </c>
      <c r="AD1755" s="153" t="str">
        <f t="shared" si="286"/>
        <v>Rye</v>
      </c>
      <c r="AE1755" s="35" t="s">
        <v>167</v>
      </c>
      <c r="AP1755" s="35" t="s">
        <v>208</v>
      </c>
      <c r="AQ1755" s="35">
        <v>4</v>
      </c>
      <c r="AR1755" s="35">
        <v>4</v>
      </c>
      <c r="AS1755" s="35" t="s">
        <v>404</v>
      </c>
      <c r="BK1755" s="35">
        <v>7.8</v>
      </c>
      <c r="BL1755" s="35">
        <v>2.8</v>
      </c>
    </row>
    <row r="1756" spans="1:64" s="35" customFormat="1" x14ac:dyDescent="0.25">
      <c r="A1756" s="35">
        <v>82</v>
      </c>
      <c r="B1756" s="35" t="s">
        <v>1735</v>
      </c>
      <c r="C1756" s="35" t="s">
        <v>1736</v>
      </c>
      <c r="D1756" s="35">
        <v>2007</v>
      </c>
      <c r="E1756" s="35">
        <v>2000</v>
      </c>
      <c r="F1756" s="35" t="s">
        <v>1737</v>
      </c>
      <c r="G1756" s="35" t="s">
        <v>1738</v>
      </c>
      <c r="H1756" s="35">
        <v>42.74</v>
      </c>
      <c r="I1756" s="35">
        <v>-84.48</v>
      </c>
      <c r="J1756" s="35">
        <v>260</v>
      </c>
      <c r="O1756" s="54"/>
      <c r="P1756" s="54" t="s">
        <v>179</v>
      </c>
      <c r="Q1756" s="54"/>
      <c r="R1756" s="54"/>
      <c r="S1756" s="54" t="s">
        <v>1668</v>
      </c>
      <c r="T1756" s="54" t="s">
        <v>1682</v>
      </c>
      <c r="X1756" s="35" t="s">
        <v>175</v>
      </c>
      <c r="AC1756" s="35" t="s">
        <v>1829</v>
      </c>
      <c r="AD1756" s="153" t="str">
        <f t="shared" si="286"/>
        <v>Rye_forage</v>
      </c>
      <c r="AE1756" s="35" t="s">
        <v>167</v>
      </c>
      <c r="AP1756" s="35" t="s">
        <v>208</v>
      </c>
      <c r="AQ1756" s="35">
        <v>4</v>
      </c>
      <c r="AR1756" s="35">
        <v>4</v>
      </c>
      <c r="AS1756" s="35" t="s">
        <v>404</v>
      </c>
      <c r="BK1756" s="35">
        <v>7.8</v>
      </c>
      <c r="BL1756" s="35">
        <v>1.9</v>
      </c>
    </row>
    <row r="1757" spans="1:64" s="35" customFormat="1" x14ac:dyDescent="0.25">
      <c r="A1757" s="35">
        <v>82</v>
      </c>
      <c r="B1757" s="35" t="s">
        <v>1735</v>
      </c>
      <c r="C1757" s="35" t="s">
        <v>1736</v>
      </c>
      <c r="D1757" s="35">
        <v>2007</v>
      </c>
      <c r="E1757" s="35">
        <v>2000</v>
      </c>
      <c r="F1757" s="35" t="s">
        <v>1737</v>
      </c>
      <c r="G1757" s="35" t="s">
        <v>1738</v>
      </c>
      <c r="H1757" s="35">
        <v>42.74</v>
      </c>
      <c r="I1757" s="35">
        <v>-84.48</v>
      </c>
      <c r="J1757" s="35">
        <v>260</v>
      </c>
      <c r="O1757" s="54"/>
      <c r="P1757" s="54" t="s">
        <v>179</v>
      </c>
      <c r="Q1757" s="54"/>
      <c r="R1757" s="54"/>
      <c r="S1757" s="54" t="s">
        <v>1668</v>
      </c>
      <c r="T1757" s="54" t="s">
        <v>1682</v>
      </c>
      <c r="X1757" s="35" t="s">
        <v>175</v>
      </c>
      <c r="AC1757" s="35" t="s">
        <v>1830</v>
      </c>
      <c r="AD1757" s="153" t="str">
        <f t="shared" si="286"/>
        <v>Wheat_early_forage</v>
      </c>
      <c r="AE1757" s="35" t="s">
        <v>167</v>
      </c>
      <c r="AP1757" s="35" t="s">
        <v>208</v>
      </c>
      <c r="AQ1757" s="35">
        <v>4</v>
      </c>
      <c r="AR1757" s="35">
        <v>4</v>
      </c>
      <c r="AS1757" s="35" t="s">
        <v>404</v>
      </c>
      <c r="BK1757" s="35">
        <v>7.8</v>
      </c>
      <c r="BL1757" s="35">
        <v>3.4</v>
      </c>
    </row>
    <row r="1758" spans="1:64" s="35" customFormat="1" x14ac:dyDescent="0.25">
      <c r="A1758" s="35">
        <v>82</v>
      </c>
      <c r="B1758" s="35" t="s">
        <v>1735</v>
      </c>
      <c r="C1758" s="35" t="s">
        <v>1736</v>
      </c>
      <c r="D1758" s="35">
        <v>2007</v>
      </c>
      <c r="E1758" s="35">
        <v>2000</v>
      </c>
      <c r="F1758" s="35" t="s">
        <v>1737</v>
      </c>
      <c r="G1758" s="35" t="s">
        <v>1738</v>
      </c>
      <c r="H1758" s="35">
        <v>42.74</v>
      </c>
      <c r="I1758" s="35">
        <v>-84.48</v>
      </c>
      <c r="J1758" s="35">
        <v>260</v>
      </c>
      <c r="O1758" s="54"/>
      <c r="P1758" s="54" t="s">
        <v>179</v>
      </c>
      <c r="Q1758" s="54"/>
      <c r="R1758" s="54"/>
      <c r="S1758" s="54" t="s">
        <v>1668</v>
      </c>
      <c r="T1758" s="54" t="s">
        <v>1682</v>
      </c>
      <c r="X1758" s="35" t="s">
        <v>175</v>
      </c>
      <c r="AC1758" s="35" t="s">
        <v>1831</v>
      </c>
      <c r="AD1758" s="153" t="str">
        <f t="shared" si="286"/>
        <v>Wheat_late_forage</v>
      </c>
      <c r="AE1758" s="35" t="s">
        <v>167</v>
      </c>
      <c r="AP1758" s="35" t="s">
        <v>208</v>
      </c>
      <c r="AQ1758" s="35">
        <v>4</v>
      </c>
      <c r="AR1758" s="35">
        <v>4</v>
      </c>
      <c r="AS1758" s="35" t="s">
        <v>404</v>
      </c>
      <c r="BK1758" s="35">
        <v>7.8</v>
      </c>
      <c r="BL1758" s="35">
        <v>2.2000000000000002</v>
      </c>
    </row>
    <row r="1759" spans="1:64" s="35" customFormat="1" x14ac:dyDescent="0.25">
      <c r="A1759" s="35">
        <v>82</v>
      </c>
      <c r="B1759" s="35" t="s">
        <v>1735</v>
      </c>
      <c r="C1759" s="35" t="s">
        <v>1736</v>
      </c>
      <c r="D1759" s="35">
        <v>2007</v>
      </c>
      <c r="E1759" s="35">
        <v>2000</v>
      </c>
      <c r="F1759" s="35" t="s">
        <v>1737</v>
      </c>
      <c r="G1759" s="35" t="s">
        <v>1738</v>
      </c>
      <c r="H1759" s="35">
        <v>42.74</v>
      </c>
      <c r="I1759" s="35">
        <v>-84.48</v>
      </c>
      <c r="J1759" s="35">
        <v>260</v>
      </c>
      <c r="O1759" s="54"/>
      <c r="P1759" s="54" t="s">
        <v>179</v>
      </c>
      <c r="Q1759" s="54"/>
      <c r="R1759" s="54"/>
      <c r="S1759" s="54" t="s">
        <v>1668</v>
      </c>
      <c r="T1759" s="54" t="s">
        <v>1682</v>
      </c>
      <c r="X1759" s="35" t="s">
        <v>175</v>
      </c>
      <c r="AC1759" s="35" t="s">
        <v>1832</v>
      </c>
      <c r="AD1759" s="153" t="str">
        <f t="shared" si="286"/>
        <v>Wheat_early_grain</v>
      </c>
      <c r="AE1759" s="35" t="s">
        <v>167</v>
      </c>
      <c r="AP1759" s="35" t="s">
        <v>208</v>
      </c>
      <c r="AQ1759" s="35">
        <v>4</v>
      </c>
      <c r="AR1759" s="35">
        <v>4</v>
      </c>
      <c r="AS1759" s="35" t="s">
        <v>404</v>
      </c>
      <c r="BK1759" s="35">
        <v>7.8</v>
      </c>
      <c r="BL1759" s="35">
        <v>3.2</v>
      </c>
    </row>
    <row r="1760" spans="1:64" s="35" customFormat="1" x14ac:dyDescent="0.25">
      <c r="A1760" s="35">
        <v>82</v>
      </c>
      <c r="B1760" s="35" t="s">
        <v>1735</v>
      </c>
      <c r="C1760" s="35" t="s">
        <v>1736</v>
      </c>
      <c r="D1760" s="35">
        <v>2007</v>
      </c>
      <c r="E1760" s="35">
        <v>2000</v>
      </c>
      <c r="F1760" s="35" t="s">
        <v>1737</v>
      </c>
      <c r="G1760" s="35" t="s">
        <v>1738</v>
      </c>
      <c r="H1760" s="35">
        <v>42.74</v>
      </c>
      <c r="I1760" s="35">
        <v>-84.48</v>
      </c>
      <c r="J1760" s="35">
        <v>260</v>
      </c>
      <c r="O1760" s="54"/>
      <c r="P1760" s="54" t="s">
        <v>179</v>
      </c>
      <c r="Q1760" s="54"/>
      <c r="R1760" s="54"/>
      <c r="S1760" s="54" t="s">
        <v>1668</v>
      </c>
      <c r="T1760" s="54" t="s">
        <v>1682</v>
      </c>
      <c r="X1760" s="35" t="s">
        <v>175</v>
      </c>
      <c r="AC1760" s="35" t="s">
        <v>1833</v>
      </c>
      <c r="AD1760" s="153" t="str">
        <f t="shared" si="286"/>
        <v>Wheat_late_grain</v>
      </c>
      <c r="AE1760" s="35" t="s">
        <v>167</v>
      </c>
      <c r="AP1760" s="35" t="s">
        <v>208</v>
      </c>
      <c r="AQ1760" s="35">
        <v>4</v>
      </c>
      <c r="AR1760" s="35">
        <v>4</v>
      </c>
      <c r="AS1760" s="35" t="s">
        <v>404</v>
      </c>
      <c r="BK1760" s="35">
        <v>7.8</v>
      </c>
      <c r="BL1760" s="35">
        <v>2.5</v>
      </c>
    </row>
    <row r="1761" spans="1:64" s="150" customFormat="1" x14ac:dyDescent="0.25">
      <c r="A1761" s="150">
        <v>82</v>
      </c>
      <c r="B1761" s="150" t="s">
        <v>1735</v>
      </c>
      <c r="C1761" s="150" t="s">
        <v>1736</v>
      </c>
      <c r="D1761" s="150">
        <v>2007</v>
      </c>
      <c r="E1761" s="150">
        <v>2001</v>
      </c>
      <c r="F1761" s="150" t="s">
        <v>1737</v>
      </c>
      <c r="G1761" s="150" t="s">
        <v>1738</v>
      </c>
      <c r="H1761" s="150">
        <v>42.74</v>
      </c>
      <c r="I1761" s="150">
        <v>-84.48</v>
      </c>
      <c r="J1761" s="150">
        <v>260</v>
      </c>
      <c r="O1761" s="151"/>
      <c r="P1761" s="151" t="s">
        <v>180</v>
      </c>
      <c r="Q1761" s="151"/>
      <c r="R1761" s="151"/>
      <c r="S1761" s="151" t="s">
        <v>1654</v>
      </c>
      <c r="T1761" s="151" t="s">
        <v>1682</v>
      </c>
      <c r="X1761" s="150" t="s">
        <v>175</v>
      </c>
      <c r="AC1761" s="150" t="s">
        <v>150</v>
      </c>
      <c r="AD1761" s="153" t="str">
        <f t="shared" si="286"/>
        <v>Wheat</v>
      </c>
      <c r="AE1761" s="150" t="s">
        <v>167</v>
      </c>
      <c r="AP1761" s="35" t="s">
        <v>208</v>
      </c>
      <c r="AQ1761" s="35">
        <v>4</v>
      </c>
      <c r="AR1761" s="35">
        <v>4</v>
      </c>
      <c r="AS1761" s="35" t="s">
        <v>404</v>
      </c>
      <c r="BK1761" s="150">
        <v>2.9</v>
      </c>
      <c r="BL1761" s="150">
        <v>2.9</v>
      </c>
    </row>
    <row r="1762" spans="1:64" s="150" customFormat="1" x14ac:dyDescent="0.25">
      <c r="A1762" s="150">
        <v>82</v>
      </c>
      <c r="B1762" s="150" t="s">
        <v>1735</v>
      </c>
      <c r="C1762" s="150" t="s">
        <v>1736</v>
      </c>
      <c r="D1762" s="150">
        <v>2007</v>
      </c>
      <c r="E1762" s="150">
        <v>2001</v>
      </c>
      <c r="F1762" s="150" t="s">
        <v>1737</v>
      </c>
      <c r="G1762" s="150" t="s">
        <v>1738</v>
      </c>
      <c r="H1762" s="150">
        <v>42.74</v>
      </c>
      <c r="I1762" s="150">
        <v>-84.48</v>
      </c>
      <c r="J1762" s="150">
        <v>260</v>
      </c>
      <c r="O1762" s="151"/>
      <c r="P1762" s="151" t="s">
        <v>180</v>
      </c>
      <c r="Q1762" s="151"/>
      <c r="R1762" s="151"/>
      <c r="S1762" s="151" t="s">
        <v>1654</v>
      </c>
      <c r="T1762" s="151" t="s">
        <v>1682</v>
      </c>
      <c r="X1762" s="150" t="s">
        <v>175</v>
      </c>
      <c r="AC1762" s="150" t="s">
        <v>166</v>
      </c>
      <c r="AD1762" s="153" t="str">
        <f t="shared" si="286"/>
        <v>Rye</v>
      </c>
      <c r="AE1762" s="150" t="s">
        <v>167</v>
      </c>
      <c r="AP1762" s="35" t="s">
        <v>208</v>
      </c>
      <c r="AQ1762" s="35">
        <v>4</v>
      </c>
      <c r="AR1762" s="35">
        <v>4</v>
      </c>
      <c r="AS1762" s="35" t="s">
        <v>404</v>
      </c>
      <c r="BK1762" s="150">
        <v>2.9</v>
      </c>
      <c r="BL1762" s="150">
        <v>2.5</v>
      </c>
    </row>
    <row r="1763" spans="1:64" s="150" customFormat="1" x14ac:dyDescent="0.25">
      <c r="A1763" s="150">
        <v>82</v>
      </c>
      <c r="B1763" s="150" t="s">
        <v>1735</v>
      </c>
      <c r="C1763" s="150" t="s">
        <v>1736</v>
      </c>
      <c r="D1763" s="150">
        <v>2007</v>
      </c>
      <c r="E1763" s="150">
        <v>2001</v>
      </c>
      <c r="F1763" s="150" t="s">
        <v>1737</v>
      </c>
      <c r="G1763" s="150" t="s">
        <v>1738</v>
      </c>
      <c r="H1763" s="150">
        <v>42.74</v>
      </c>
      <c r="I1763" s="150">
        <v>-84.48</v>
      </c>
      <c r="J1763" s="150">
        <v>260</v>
      </c>
      <c r="O1763" s="151"/>
      <c r="P1763" s="151" t="s">
        <v>180</v>
      </c>
      <c r="Q1763" s="151"/>
      <c r="R1763" s="151"/>
      <c r="S1763" s="151" t="s">
        <v>1654</v>
      </c>
      <c r="T1763" s="151" t="s">
        <v>1682</v>
      </c>
      <c r="X1763" s="150" t="s">
        <v>175</v>
      </c>
      <c r="AC1763" s="150" t="s">
        <v>1829</v>
      </c>
      <c r="AD1763" s="153" t="str">
        <f t="shared" si="286"/>
        <v>Rye_forage</v>
      </c>
      <c r="AE1763" s="150" t="s">
        <v>167</v>
      </c>
      <c r="AP1763" s="35" t="s">
        <v>208</v>
      </c>
      <c r="AQ1763" s="35">
        <v>4</v>
      </c>
      <c r="AR1763" s="35">
        <v>4</v>
      </c>
      <c r="AS1763" s="35" t="s">
        <v>404</v>
      </c>
      <c r="BK1763" s="150">
        <v>2.9</v>
      </c>
      <c r="BL1763" s="150">
        <v>2.9</v>
      </c>
    </row>
    <row r="1764" spans="1:64" s="150" customFormat="1" x14ac:dyDescent="0.25">
      <c r="A1764" s="150">
        <v>82</v>
      </c>
      <c r="B1764" s="150" t="s">
        <v>1735</v>
      </c>
      <c r="C1764" s="150" t="s">
        <v>1736</v>
      </c>
      <c r="D1764" s="150">
        <v>2007</v>
      </c>
      <c r="E1764" s="150">
        <v>2001</v>
      </c>
      <c r="F1764" s="150" t="s">
        <v>1737</v>
      </c>
      <c r="G1764" s="150" t="s">
        <v>1738</v>
      </c>
      <c r="H1764" s="150">
        <v>42.74</v>
      </c>
      <c r="I1764" s="150">
        <v>-84.48</v>
      </c>
      <c r="J1764" s="150">
        <v>260</v>
      </c>
      <c r="O1764" s="151"/>
      <c r="P1764" s="151" t="s">
        <v>180</v>
      </c>
      <c r="Q1764" s="151"/>
      <c r="R1764" s="151"/>
      <c r="S1764" s="151" t="s">
        <v>1654</v>
      </c>
      <c r="T1764" s="151" t="s">
        <v>1682</v>
      </c>
      <c r="X1764" s="150" t="s">
        <v>175</v>
      </c>
      <c r="AC1764" s="150" t="s">
        <v>1830</v>
      </c>
      <c r="AD1764" s="153" t="str">
        <f t="shared" si="286"/>
        <v>Wheat_early_forage</v>
      </c>
      <c r="AE1764" s="150" t="s">
        <v>167</v>
      </c>
      <c r="AP1764" s="35" t="s">
        <v>208</v>
      </c>
      <c r="AQ1764" s="35">
        <v>4</v>
      </c>
      <c r="AR1764" s="35">
        <v>4</v>
      </c>
      <c r="AS1764" s="35" t="s">
        <v>404</v>
      </c>
      <c r="BK1764" s="150">
        <v>2.9</v>
      </c>
      <c r="BL1764" s="150">
        <v>1.5</v>
      </c>
    </row>
    <row r="1765" spans="1:64" s="150" customFormat="1" x14ac:dyDescent="0.25">
      <c r="A1765" s="150">
        <v>82</v>
      </c>
      <c r="B1765" s="150" t="s">
        <v>1735</v>
      </c>
      <c r="C1765" s="150" t="s">
        <v>1736</v>
      </c>
      <c r="D1765" s="150">
        <v>2007</v>
      </c>
      <c r="E1765" s="150">
        <v>2001</v>
      </c>
      <c r="F1765" s="150" t="s">
        <v>1737</v>
      </c>
      <c r="G1765" s="150" t="s">
        <v>1738</v>
      </c>
      <c r="H1765" s="150">
        <v>42.74</v>
      </c>
      <c r="I1765" s="150">
        <v>-84.48</v>
      </c>
      <c r="J1765" s="150">
        <v>260</v>
      </c>
      <c r="O1765" s="151"/>
      <c r="P1765" s="151" t="s">
        <v>180</v>
      </c>
      <c r="Q1765" s="151"/>
      <c r="R1765" s="151"/>
      <c r="S1765" s="151" t="s">
        <v>1654</v>
      </c>
      <c r="T1765" s="151" t="s">
        <v>1682</v>
      </c>
      <c r="X1765" s="150" t="s">
        <v>175</v>
      </c>
      <c r="AC1765" s="150" t="s">
        <v>1831</v>
      </c>
      <c r="AD1765" s="153" t="str">
        <f t="shared" si="286"/>
        <v>Wheat_late_forage</v>
      </c>
      <c r="AE1765" s="150" t="s">
        <v>167</v>
      </c>
      <c r="AP1765" s="35" t="s">
        <v>208</v>
      </c>
      <c r="AQ1765" s="35">
        <v>4</v>
      </c>
      <c r="AR1765" s="35">
        <v>4</v>
      </c>
      <c r="AS1765" s="35" t="s">
        <v>404</v>
      </c>
      <c r="BK1765" s="150">
        <v>2.9</v>
      </c>
      <c r="BL1765" s="150">
        <v>1.8</v>
      </c>
    </row>
    <row r="1766" spans="1:64" s="150" customFormat="1" x14ac:dyDescent="0.25">
      <c r="A1766" s="150">
        <v>82</v>
      </c>
      <c r="B1766" s="150" t="s">
        <v>1735</v>
      </c>
      <c r="C1766" s="150" t="s">
        <v>1736</v>
      </c>
      <c r="D1766" s="150">
        <v>2007</v>
      </c>
      <c r="E1766" s="150">
        <v>2001</v>
      </c>
      <c r="F1766" s="150" t="s">
        <v>1737</v>
      </c>
      <c r="G1766" s="150" t="s">
        <v>1738</v>
      </c>
      <c r="H1766" s="150">
        <v>42.74</v>
      </c>
      <c r="I1766" s="150">
        <v>-84.48</v>
      </c>
      <c r="J1766" s="150">
        <v>260</v>
      </c>
      <c r="O1766" s="151"/>
      <c r="P1766" s="151" t="s">
        <v>180</v>
      </c>
      <c r="Q1766" s="151"/>
      <c r="R1766" s="151"/>
      <c r="S1766" s="151" t="s">
        <v>1654</v>
      </c>
      <c r="T1766" s="151" t="s">
        <v>1682</v>
      </c>
      <c r="X1766" s="150" t="s">
        <v>175</v>
      </c>
      <c r="AC1766" s="150" t="s">
        <v>1832</v>
      </c>
      <c r="AD1766" s="153" t="str">
        <f t="shared" si="286"/>
        <v>Wheat_early_grain</v>
      </c>
      <c r="AE1766" s="150" t="s">
        <v>167</v>
      </c>
      <c r="AP1766" s="35" t="s">
        <v>208</v>
      </c>
      <c r="AQ1766" s="35">
        <v>4</v>
      </c>
      <c r="AR1766" s="35">
        <v>4</v>
      </c>
      <c r="AS1766" s="35" t="s">
        <v>404</v>
      </c>
      <c r="BK1766" s="150">
        <v>2.9</v>
      </c>
      <c r="BL1766" s="150">
        <v>1.5</v>
      </c>
    </row>
    <row r="1767" spans="1:64" s="150" customFormat="1" x14ac:dyDescent="0.25">
      <c r="A1767" s="150">
        <v>82</v>
      </c>
      <c r="B1767" s="150" t="s">
        <v>1735</v>
      </c>
      <c r="C1767" s="150" t="s">
        <v>1736</v>
      </c>
      <c r="D1767" s="150">
        <v>2007</v>
      </c>
      <c r="E1767" s="150">
        <v>2001</v>
      </c>
      <c r="F1767" s="150" t="s">
        <v>1737</v>
      </c>
      <c r="G1767" s="150" t="s">
        <v>1738</v>
      </c>
      <c r="H1767" s="150">
        <v>42.74</v>
      </c>
      <c r="I1767" s="150">
        <v>-84.48</v>
      </c>
      <c r="J1767" s="150">
        <v>260</v>
      </c>
      <c r="O1767" s="151"/>
      <c r="P1767" s="151" t="s">
        <v>180</v>
      </c>
      <c r="Q1767" s="151"/>
      <c r="R1767" s="151"/>
      <c r="S1767" s="151" t="s">
        <v>1654</v>
      </c>
      <c r="T1767" s="151" t="s">
        <v>1682</v>
      </c>
      <c r="X1767" s="150" t="s">
        <v>175</v>
      </c>
      <c r="AC1767" s="150" t="s">
        <v>1833</v>
      </c>
      <c r="AD1767" s="153" t="str">
        <f t="shared" si="286"/>
        <v>Wheat_late_grain</v>
      </c>
      <c r="AE1767" s="150" t="s">
        <v>167</v>
      </c>
      <c r="AP1767" s="35" t="s">
        <v>208</v>
      </c>
      <c r="AQ1767" s="35">
        <v>4</v>
      </c>
      <c r="AR1767" s="35">
        <v>4</v>
      </c>
      <c r="AS1767" s="35" t="s">
        <v>404</v>
      </c>
      <c r="BK1767" s="150">
        <v>2.9</v>
      </c>
      <c r="BL1767" s="150">
        <v>1.3</v>
      </c>
    </row>
    <row r="1768" spans="1:64" s="26" customFormat="1" x14ac:dyDescent="0.25">
      <c r="A1768" s="26">
        <v>82</v>
      </c>
      <c r="B1768" s="26" t="s">
        <v>1735</v>
      </c>
      <c r="C1768" s="26" t="s">
        <v>1736</v>
      </c>
      <c r="D1768" s="26">
        <v>2007</v>
      </c>
      <c r="E1768" s="26">
        <v>2001</v>
      </c>
      <c r="F1768" s="26" t="s">
        <v>1737</v>
      </c>
      <c r="G1768" s="26" t="s">
        <v>1738</v>
      </c>
      <c r="H1768" s="26">
        <v>42.74</v>
      </c>
      <c r="I1768" s="26">
        <v>-84.48</v>
      </c>
      <c r="J1768" s="26">
        <v>260</v>
      </c>
      <c r="O1768" s="52"/>
      <c r="P1768" s="52" t="s">
        <v>180</v>
      </c>
      <c r="Q1768" s="52"/>
      <c r="R1768" s="52"/>
      <c r="S1768" s="52" t="s">
        <v>1667</v>
      </c>
      <c r="T1768" s="52" t="s">
        <v>1682</v>
      </c>
      <c r="X1768" s="26" t="s">
        <v>175</v>
      </c>
      <c r="AC1768" s="26" t="s">
        <v>150</v>
      </c>
      <c r="AD1768" s="153" t="str">
        <f t="shared" si="286"/>
        <v>Wheat</v>
      </c>
      <c r="AE1768" s="26" t="s">
        <v>167</v>
      </c>
      <c r="AP1768" s="35" t="s">
        <v>208</v>
      </c>
      <c r="AQ1768" s="35">
        <v>4</v>
      </c>
      <c r="AR1768" s="35">
        <v>4</v>
      </c>
      <c r="AS1768" s="35" t="s">
        <v>404</v>
      </c>
      <c r="BK1768" s="26">
        <v>3.8</v>
      </c>
      <c r="BL1768" s="26">
        <v>2.2999999999999998</v>
      </c>
    </row>
    <row r="1769" spans="1:64" s="26" customFormat="1" x14ac:dyDescent="0.25">
      <c r="A1769" s="26">
        <v>82</v>
      </c>
      <c r="B1769" s="26" t="s">
        <v>1735</v>
      </c>
      <c r="C1769" s="26" t="s">
        <v>1736</v>
      </c>
      <c r="D1769" s="26">
        <v>2007</v>
      </c>
      <c r="E1769" s="26">
        <v>2001</v>
      </c>
      <c r="F1769" s="26" t="s">
        <v>1737</v>
      </c>
      <c r="G1769" s="26" t="s">
        <v>1738</v>
      </c>
      <c r="H1769" s="26">
        <v>42.74</v>
      </c>
      <c r="I1769" s="26">
        <v>-84.48</v>
      </c>
      <c r="J1769" s="26">
        <v>260</v>
      </c>
      <c r="O1769" s="52"/>
      <c r="P1769" s="52" t="s">
        <v>180</v>
      </c>
      <c r="Q1769" s="52"/>
      <c r="R1769" s="52"/>
      <c r="S1769" s="52" t="s">
        <v>1667</v>
      </c>
      <c r="T1769" s="52" t="s">
        <v>1682</v>
      </c>
      <c r="X1769" s="26" t="s">
        <v>175</v>
      </c>
      <c r="AC1769" s="26" t="s">
        <v>166</v>
      </c>
      <c r="AD1769" s="153" t="str">
        <f t="shared" si="286"/>
        <v>Rye</v>
      </c>
      <c r="AE1769" s="26" t="s">
        <v>167</v>
      </c>
      <c r="AP1769" s="35" t="s">
        <v>208</v>
      </c>
      <c r="AQ1769" s="35">
        <v>4</v>
      </c>
      <c r="AR1769" s="35">
        <v>4</v>
      </c>
      <c r="AS1769" s="35" t="s">
        <v>404</v>
      </c>
      <c r="BK1769" s="26">
        <v>3.8</v>
      </c>
      <c r="BL1769" s="26">
        <v>1.9</v>
      </c>
    </row>
    <row r="1770" spans="1:64" s="26" customFormat="1" x14ac:dyDescent="0.25">
      <c r="A1770" s="26">
        <v>82</v>
      </c>
      <c r="B1770" s="26" t="s">
        <v>1735</v>
      </c>
      <c r="C1770" s="26" t="s">
        <v>1736</v>
      </c>
      <c r="D1770" s="26">
        <v>2007</v>
      </c>
      <c r="E1770" s="26">
        <v>2001</v>
      </c>
      <c r="F1770" s="26" t="s">
        <v>1737</v>
      </c>
      <c r="G1770" s="26" t="s">
        <v>1738</v>
      </c>
      <c r="H1770" s="26">
        <v>42.74</v>
      </c>
      <c r="I1770" s="26">
        <v>-84.48</v>
      </c>
      <c r="J1770" s="26">
        <v>260</v>
      </c>
      <c r="O1770" s="52"/>
      <c r="P1770" s="52" t="s">
        <v>180</v>
      </c>
      <c r="Q1770" s="52"/>
      <c r="R1770" s="52"/>
      <c r="S1770" s="52" t="s">
        <v>1667</v>
      </c>
      <c r="T1770" s="52" t="s">
        <v>1682</v>
      </c>
      <c r="X1770" s="26" t="s">
        <v>175</v>
      </c>
      <c r="AC1770" s="26" t="s">
        <v>1829</v>
      </c>
      <c r="AD1770" s="153" t="str">
        <f t="shared" si="286"/>
        <v>Rye_forage</v>
      </c>
      <c r="AE1770" s="26" t="s">
        <v>167</v>
      </c>
      <c r="AP1770" s="35" t="s">
        <v>208</v>
      </c>
      <c r="AQ1770" s="35">
        <v>4</v>
      </c>
      <c r="AR1770" s="35">
        <v>4</v>
      </c>
      <c r="AS1770" s="35" t="s">
        <v>404</v>
      </c>
      <c r="BK1770" s="26">
        <v>3.8</v>
      </c>
      <c r="BL1770" s="26">
        <v>1.5</v>
      </c>
    </row>
    <row r="1771" spans="1:64" s="26" customFormat="1" x14ac:dyDescent="0.25">
      <c r="A1771" s="26">
        <v>82</v>
      </c>
      <c r="B1771" s="26" t="s">
        <v>1735</v>
      </c>
      <c r="C1771" s="26" t="s">
        <v>1736</v>
      </c>
      <c r="D1771" s="26">
        <v>2007</v>
      </c>
      <c r="E1771" s="26">
        <v>2001</v>
      </c>
      <c r="F1771" s="26" t="s">
        <v>1737</v>
      </c>
      <c r="G1771" s="26" t="s">
        <v>1738</v>
      </c>
      <c r="H1771" s="26">
        <v>42.74</v>
      </c>
      <c r="I1771" s="26">
        <v>-84.48</v>
      </c>
      <c r="J1771" s="26">
        <v>260</v>
      </c>
      <c r="O1771" s="52"/>
      <c r="P1771" s="52" t="s">
        <v>180</v>
      </c>
      <c r="Q1771" s="52"/>
      <c r="R1771" s="52"/>
      <c r="S1771" s="52" t="s">
        <v>1667</v>
      </c>
      <c r="T1771" s="52" t="s">
        <v>1682</v>
      </c>
      <c r="X1771" s="26" t="s">
        <v>175</v>
      </c>
      <c r="AC1771" s="26" t="s">
        <v>1830</v>
      </c>
      <c r="AD1771" s="153" t="str">
        <f t="shared" si="286"/>
        <v>Wheat_early_forage</v>
      </c>
      <c r="AE1771" s="26" t="s">
        <v>167</v>
      </c>
      <c r="AP1771" s="35" t="s">
        <v>208</v>
      </c>
      <c r="AQ1771" s="35">
        <v>4</v>
      </c>
      <c r="AR1771" s="35">
        <v>4</v>
      </c>
      <c r="AS1771" s="35" t="s">
        <v>404</v>
      </c>
      <c r="BK1771" s="26">
        <v>3.8</v>
      </c>
      <c r="BL1771" s="26">
        <v>1.3</v>
      </c>
    </row>
    <row r="1772" spans="1:64" s="26" customFormat="1" x14ac:dyDescent="0.25">
      <c r="A1772" s="26">
        <v>82</v>
      </c>
      <c r="B1772" s="26" t="s">
        <v>1735</v>
      </c>
      <c r="C1772" s="26" t="s">
        <v>1736</v>
      </c>
      <c r="D1772" s="26">
        <v>2007</v>
      </c>
      <c r="E1772" s="26">
        <v>2001</v>
      </c>
      <c r="F1772" s="26" t="s">
        <v>1737</v>
      </c>
      <c r="G1772" s="26" t="s">
        <v>1738</v>
      </c>
      <c r="H1772" s="26">
        <v>42.74</v>
      </c>
      <c r="I1772" s="26">
        <v>-84.48</v>
      </c>
      <c r="J1772" s="26">
        <v>260</v>
      </c>
      <c r="O1772" s="52"/>
      <c r="P1772" s="52" t="s">
        <v>180</v>
      </c>
      <c r="Q1772" s="52"/>
      <c r="R1772" s="52"/>
      <c r="S1772" s="52" t="s">
        <v>1667</v>
      </c>
      <c r="T1772" s="52" t="s">
        <v>1682</v>
      </c>
      <c r="X1772" s="26" t="s">
        <v>175</v>
      </c>
      <c r="AC1772" s="26" t="s">
        <v>1831</v>
      </c>
      <c r="AD1772" s="153" t="str">
        <f t="shared" si="286"/>
        <v>Wheat_late_forage</v>
      </c>
      <c r="AE1772" s="26" t="s">
        <v>167</v>
      </c>
      <c r="AP1772" s="35" t="s">
        <v>208</v>
      </c>
      <c r="AQ1772" s="35">
        <v>4</v>
      </c>
      <c r="AR1772" s="35">
        <v>4</v>
      </c>
      <c r="AS1772" s="35" t="s">
        <v>404</v>
      </c>
      <c r="BK1772" s="26">
        <v>3.8</v>
      </c>
      <c r="BL1772" s="26">
        <v>1.4</v>
      </c>
    </row>
    <row r="1773" spans="1:64" s="26" customFormat="1" x14ac:dyDescent="0.25">
      <c r="A1773" s="26">
        <v>82</v>
      </c>
      <c r="B1773" s="26" t="s">
        <v>1735</v>
      </c>
      <c r="C1773" s="26" t="s">
        <v>1736</v>
      </c>
      <c r="D1773" s="26">
        <v>2007</v>
      </c>
      <c r="E1773" s="26">
        <v>2001</v>
      </c>
      <c r="F1773" s="26" t="s">
        <v>1737</v>
      </c>
      <c r="G1773" s="26" t="s">
        <v>1738</v>
      </c>
      <c r="H1773" s="26">
        <v>42.74</v>
      </c>
      <c r="I1773" s="26">
        <v>-84.48</v>
      </c>
      <c r="J1773" s="26">
        <v>260</v>
      </c>
      <c r="O1773" s="52"/>
      <c r="P1773" s="52" t="s">
        <v>180</v>
      </c>
      <c r="Q1773" s="52"/>
      <c r="R1773" s="52"/>
      <c r="S1773" s="52" t="s">
        <v>1667</v>
      </c>
      <c r="T1773" s="52" t="s">
        <v>1682</v>
      </c>
      <c r="X1773" s="26" t="s">
        <v>175</v>
      </c>
      <c r="AC1773" s="26" t="s">
        <v>1832</v>
      </c>
      <c r="AD1773" s="153" t="str">
        <f t="shared" si="286"/>
        <v>Wheat_early_grain</v>
      </c>
      <c r="AE1773" s="26" t="s">
        <v>167</v>
      </c>
      <c r="AP1773" s="35" t="s">
        <v>208</v>
      </c>
      <c r="AQ1773" s="35">
        <v>4</v>
      </c>
      <c r="AR1773" s="35">
        <v>4</v>
      </c>
      <c r="AS1773" s="35" t="s">
        <v>404</v>
      </c>
      <c r="BK1773" s="26">
        <v>3.8</v>
      </c>
      <c r="BL1773" s="26">
        <v>1.5</v>
      </c>
    </row>
    <row r="1774" spans="1:64" s="26" customFormat="1" x14ac:dyDescent="0.25">
      <c r="A1774" s="26">
        <v>82</v>
      </c>
      <c r="B1774" s="26" t="s">
        <v>1735</v>
      </c>
      <c r="C1774" s="26" t="s">
        <v>1736</v>
      </c>
      <c r="D1774" s="26">
        <v>2007</v>
      </c>
      <c r="E1774" s="26">
        <v>2001</v>
      </c>
      <c r="F1774" s="26" t="s">
        <v>1737</v>
      </c>
      <c r="G1774" s="26" t="s">
        <v>1738</v>
      </c>
      <c r="H1774" s="26">
        <v>42.74</v>
      </c>
      <c r="I1774" s="26">
        <v>-84.48</v>
      </c>
      <c r="J1774" s="26">
        <v>260</v>
      </c>
      <c r="O1774" s="52"/>
      <c r="P1774" s="52" t="s">
        <v>180</v>
      </c>
      <c r="Q1774" s="52"/>
      <c r="R1774" s="52"/>
      <c r="S1774" s="52" t="s">
        <v>1667</v>
      </c>
      <c r="T1774" s="52" t="s">
        <v>1682</v>
      </c>
      <c r="X1774" s="26" t="s">
        <v>175</v>
      </c>
      <c r="AC1774" s="26" t="s">
        <v>1833</v>
      </c>
      <c r="AD1774" s="153" t="str">
        <f t="shared" si="286"/>
        <v>Wheat_late_grain</v>
      </c>
      <c r="AE1774" s="26" t="s">
        <v>167</v>
      </c>
      <c r="AP1774" s="35" t="s">
        <v>208</v>
      </c>
      <c r="AQ1774" s="35">
        <v>4</v>
      </c>
      <c r="AR1774" s="35">
        <v>4</v>
      </c>
      <c r="AS1774" s="35" t="s">
        <v>404</v>
      </c>
      <c r="BK1774" s="26">
        <v>3.8</v>
      </c>
      <c r="BL1774" s="26">
        <v>1.2</v>
      </c>
    </row>
    <row r="1775" spans="1:64" s="150" customFormat="1" x14ac:dyDescent="0.25">
      <c r="A1775" s="150">
        <v>82</v>
      </c>
      <c r="B1775" s="150" t="s">
        <v>1735</v>
      </c>
      <c r="C1775" s="150" t="s">
        <v>1736</v>
      </c>
      <c r="D1775" s="150">
        <v>2007</v>
      </c>
      <c r="E1775" s="150">
        <v>2001</v>
      </c>
      <c r="F1775" s="150" t="s">
        <v>1737</v>
      </c>
      <c r="G1775" s="150" t="s">
        <v>1738</v>
      </c>
      <c r="H1775" s="150">
        <v>42.74</v>
      </c>
      <c r="I1775" s="150">
        <v>-84.48</v>
      </c>
      <c r="J1775" s="150">
        <v>260</v>
      </c>
      <c r="O1775" s="151"/>
      <c r="P1775" s="151" t="s">
        <v>180</v>
      </c>
      <c r="Q1775" s="151"/>
      <c r="R1775" s="151"/>
      <c r="S1775" s="151" t="s">
        <v>1668</v>
      </c>
      <c r="T1775" s="151" t="s">
        <v>1682</v>
      </c>
      <c r="X1775" s="150" t="s">
        <v>175</v>
      </c>
      <c r="AC1775" s="150" t="s">
        <v>150</v>
      </c>
      <c r="AD1775" s="153" t="str">
        <f t="shared" si="286"/>
        <v>Wheat</v>
      </c>
      <c r="AE1775" s="150" t="s">
        <v>167</v>
      </c>
      <c r="AP1775" s="35" t="s">
        <v>208</v>
      </c>
      <c r="AQ1775" s="35">
        <v>4</v>
      </c>
      <c r="AR1775" s="35">
        <v>4</v>
      </c>
      <c r="AS1775" s="35" t="s">
        <v>404</v>
      </c>
      <c r="BK1775" s="150">
        <v>3.1</v>
      </c>
      <c r="BL1775" s="150">
        <v>1.7</v>
      </c>
    </row>
    <row r="1776" spans="1:64" s="150" customFormat="1" x14ac:dyDescent="0.25">
      <c r="A1776" s="150">
        <v>82</v>
      </c>
      <c r="B1776" s="150" t="s">
        <v>1735</v>
      </c>
      <c r="C1776" s="150" t="s">
        <v>1736</v>
      </c>
      <c r="D1776" s="150">
        <v>2007</v>
      </c>
      <c r="E1776" s="150">
        <v>2001</v>
      </c>
      <c r="F1776" s="150" t="s">
        <v>1737</v>
      </c>
      <c r="G1776" s="150" t="s">
        <v>1738</v>
      </c>
      <c r="H1776" s="150">
        <v>42.74</v>
      </c>
      <c r="I1776" s="150">
        <v>-84.48</v>
      </c>
      <c r="J1776" s="150">
        <v>260</v>
      </c>
      <c r="O1776" s="151"/>
      <c r="P1776" s="151" t="s">
        <v>180</v>
      </c>
      <c r="Q1776" s="151"/>
      <c r="R1776" s="151"/>
      <c r="S1776" s="151" t="s">
        <v>1668</v>
      </c>
      <c r="T1776" s="151" t="s">
        <v>1682</v>
      </c>
      <c r="X1776" s="150" t="s">
        <v>175</v>
      </c>
      <c r="AC1776" s="150" t="s">
        <v>166</v>
      </c>
      <c r="AD1776" s="153" t="str">
        <f t="shared" si="286"/>
        <v>Rye</v>
      </c>
      <c r="AE1776" s="150" t="s">
        <v>167</v>
      </c>
      <c r="AP1776" s="35" t="s">
        <v>208</v>
      </c>
      <c r="AQ1776" s="35">
        <v>4</v>
      </c>
      <c r="AR1776" s="35">
        <v>4</v>
      </c>
      <c r="AS1776" s="35" t="s">
        <v>404</v>
      </c>
      <c r="BK1776" s="150">
        <v>3.1</v>
      </c>
      <c r="BL1776" s="150">
        <v>1.8</v>
      </c>
    </row>
    <row r="1777" spans="1:157" s="150" customFormat="1" x14ac:dyDescent="0.25">
      <c r="A1777" s="150">
        <v>82</v>
      </c>
      <c r="B1777" s="150" t="s">
        <v>1735</v>
      </c>
      <c r="C1777" s="150" t="s">
        <v>1736</v>
      </c>
      <c r="D1777" s="150">
        <v>2007</v>
      </c>
      <c r="E1777" s="150">
        <v>2001</v>
      </c>
      <c r="F1777" s="150" t="s">
        <v>1737</v>
      </c>
      <c r="G1777" s="150" t="s">
        <v>1738</v>
      </c>
      <c r="H1777" s="150">
        <v>42.74</v>
      </c>
      <c r="I1777" s="150">
        <v>-84.48</v>
      </c>
      <c r="J1777" s="150">
        <v>260</v>
      </c>
      <c r="O1777" s="151"/>
      <c r="P1777" s="151" t="s">
        <v>180</v>
      </c>
      <c r="Q1777" s="151"/>
      <c r="R1777" s="151"/>
      <c r="S1777" s="151" t="s">
        <v>1668</v>
      </c>
      <c r="T1777" s="151" t="s">
        <v>1682</v>
      </c>
      <c r="X1777" s="150" t="s">
        <v>175</v>
      </c>
      <c r="AC1777" s="150" t="s">
        <v>1829</v>
      </c>
      <c r="AD1777" s="153" t="str">
        <f t="shared" si="286"/>
        <v>Rye_forage</v>
      </c>
      <c r="AE1777" s="150" t="s">
        <v>167</v>
      </c>
      <c r="AP1777" s="35" t="s">
        <v>208</v>
      </c>
      <c r="AQ1777" s="35">
        <v>4</v>
      </c>
      <c r="AR1777" s="35">
        <v>4</v>
      </c>
      <c r="AS1777" s="35" t="s">
        <v>404</v>
      </c>
      <c r="BK1777" s="150">
        <v>3.1</v>
      </c>
      <c r="BL1777" s="150">
        <v>1.5</v>
      </c>
    </row>
    <row r="1778" spans="1:157" s="150" customFormat="1" x14ac:dyDescent="0.25">
      <c r="A1778" s="150">
        <v>82</v>
      </c>
      <c r="B1778" s="150" t="s">
        <v>1735</v>
      </c>
      <c r="C1778" s="150" t="s">
        <v>1736</v>
      </c>
      <c r="D1778" s="150">
        <v>2007</v>
      </c>
      <c r="E1778" s="150">
        <v>2001</v>
      </c>
      <c r="F1778" s="150" t="s">
        <v>1737</v>
      </c>
      <c r="G1778" s="150" t="s">
        <v>1738</v>
      </c>
      <c r="H1778" s="150">
        <v>42.74</v>
      </c>
      <c r="I1778" s="150">
        <v>-84.48</v>
      </c>
      <c r="J1778" s="150">
        <v>260</v>
      </c>
      <c r="O1778" s="151"/>
      <c r="P1778" s="151" t="s">
        <v>180</v>
      </c>
      <c r="Q1778" s="151"/>
      <c r="R1778" s="151"/>
      <c r="S1778" s="151" t="s">
        <v>1668</v>
      </c>
      <c r="T1778" s="151" t="s">
        <v>1682</v>
      </c>
      <c r="X1778" s="150" t="s">
        <v>175</v>
      </c>
      <c r="AC1778" s="150" t="s">
        <v>1830</v>
      </c>
      <c r="AD1778" s="153" t="str">
        <f t="shared" si="286"/>
        <v>Wheat_early_forage</v>
      </c>
      <c r="AE1778" s="150" t="s">
        <v>167</v>
      </c>
      <c r="AP1778" s="35" t="s">
        <v>208</v>
      </c>
      <c r="AQ1778" s="35">
        <v>4</v>
      </c>
      <c r="AR1778" s="35">
        <v>4</v>
      </c>
      <c r="AS1778" s="35" t="s">
        <v>404</v>
      </c>
      <c r="BK1778" s="150">
        <v>3.1</v>
      </c>
      <c r="BL1778" s="150">
        <v>1.6</v>
      </c>
    </row>
    <row r="1779" spans="1:157" s="150" customFormat="1" x14ac:dyDescent="0.25">
      <c r="A1779" s="150">
        <v>82</v>
      </c>
      <c r="B1779" s="150" t="s">
        <v>1735</v>
      </c>
      <c r="C1779" s="150" t="s">
        <v>1736</v>
      </c>
      <c r="D1779" s="150">
        <v>2007</v>
      </c>
      <c r="E1779" s="150">
        <v>2001</v>
      </c>
      <c r="F1779" s="150" t="s">
        <v>1737</v>
      </c>
      <c r="G1779" s="150" t="s">
        <v>1738</v>
      </c>
      <c r="H1779" s="150">
        <v>42.74</v>
      </c>
      <c r="I1779" s="150">
        <v>-84.48</v>
      </c>
      <c r="J1779" s="150">
        <v>260</v>
      </c>
      <c r="O1779" s="151"/>
      <c r="P1779" s="151" t="s">
        <v>180</v>
      </c>
      <c r="Q1779" s="151"/>
      <c r="R1779" s="151"/>
      <c r="S1779" s="151" t="s">
        <v>1668</v>
      </c>
      <c r="T1779" s="151" t="s">
        <v>1682</v>
      </c>
      <c r="X1779" s="150" t="s">
        <v>175</v>
      </c>
      <c r="AC1779" s="150" t="s">
        <v>1831</v>
      </c>
      <c r="AD1779" s="153" t="str">
        <f t="shared" si="286"/>
        <v>Wheat_late_forage</v>
      </c>
      <c r="AE1779" s="150" t="s">
        <v>167</v>
      </c>
      <c r="AP1779" s="35" t="s">
        <v>208</v>
      </c>
      <c r="AQ1779" s="35">
        <v>4</v>
      </c>
      <c r="AR1779" s="35">
        <v>4</v>
      </c>
      <c r="AS1779" s="35" t="s">
        <v>404</v>
      </c>
      <c r="BK1779" s="150">
        <v>3.1</v>
      </c>
      <c r="BL1779" s="150">
        <v>1.9</v>
      </c>
    </row>
    <row r="1780" spans="1:157" s="150" customFormat="1" x14ac:dyDescent="0.25">
      <c r="A1780" s="150">
        <v>82</v>
      </c>
      <c r="B1780" s="150" t="s">
        <v>1735</v>
      </c>
      <c r="C1780" s="150" t="s">
        <v>1736</v>
      </c>
      <c r="D1780" s="150">
        <v>2007</v>
      </c>
      <c r="E1780" s="150">
        <v>2001</v>
      </c>
      <c r="F1780" s="150" t="s">
        <v>1737</v>
      </c>
      <c r="G1780" s="150" t="s">
        <v>1738</v>
      </c>
      <c r="H1780" s="150">
        <v>42.74</v>
      </c>
      <c r="I1780" s="150">
        <v>-84.48</v>
      </c>
      <c r="J1780" s="150">
        <v>260</v>
      </c>
      <c r="O1780" s="151"/>
      <c r="P1780" s="151" t="s">
        <v>180</v>
      </c>
      <c r="Q1780" s="151"/>
      <c r="R1780" s="151"/>
      <c r="S1780" s="151" t="s">
        <v>1668</v>
      </c>
      <c r="T1780" s="151" t="s">
        <v>1682</v>
      </c>
      <c r="X1780" s="150" t="s">
        <v>175</v>
      </c>
      <c r="AC1780" s="150" t="s">
        <v>1832</v>
      </c>
      <c r="AD1780" s="153" t="str">
        <f t="shared" si="286"/>
        <v>Wheat_early_grain</v>
      </c>
      <c r="AE1780" s="150" t="s">
        <v>167</v>
      </c>
      <c r="AP1780" s="35" t="s">
        <v>208</v>
      </c>
      <c r="AQ1780" s="35">
        <v>4</v>
      </c>
      <c r="AR1780" s="35">
        <v>4</v>
      </c>
      <c r="AS1780" s="35" t="s">
        <v>404</v>
      </c>
      <c r="BK1780" s="150">
        <v>3.1</v>
      </c>
      <c r="BL1780" s="150">
        <v>1.6</v>
      </c>
    </row>
    <row r="1781" spans="1:157" s="150" customFormat="1" x14ac:dyDescent="0.25">
      <c r="A1781" s="150">
        <v>82</v>
      </c>
      <c r="B1781" s="150" t="s">
        <v>1735</v>
      </c>
      <c r="C1781" s="150" t="s">
        <v>1736</v>
      </c>
      <c r="D1781" s="150">
        <v>2007</v>
      </c>
      <c r="E1781" s="150">
        <v>2001</v>
      </c>
      <c r="F1781" s="150" t="s">
        <v>1737</v>
      </c>
      <c r="G1781" s="150" t="s">
        <v>1738</v>
      </c>
      <c r="H1781" s="150">
        <v>42.74</v>
      </c>
      <c r="I1781" s="150">
        <v>-84.48</v>
      </c>
      <c r="J1781" s="150">
        <v>260</v>
      </c>
      <c r="O1781" s="151"/>
      <c r="P1781" s="151" t="s">
        <v>180</v>
      </c>
      <c r="Q1781" s="151"/>
      <c r="R1781" s="151"/>
      <c r="S1781" s="151" t="s">
        <v>1668</v>
      </c>
      <c r="T1781" s="151" t="s">
        <v>1682</v>
      </c>
      <c r="X1781" s="150" t="s">
        <v>175</v>
      </c>
      <c r="AC1781" s="150" t="s">
        <v>1833</v>
      </c>
      <c r="AD1781" s="153" t="str">
        <f t="shared" si="286"/>
        <v>Wheat_late_grain</v>
      </c>
      <c r="AE1781" s="150" t="s">
        <v>167</v>
      </c>
      <c r="AP1781" s="35" t="s">
        <v>208</v>
      </c>
      <c r="AQ1781" s="35">
        <v>4</v>
      </c>
      <c r="AR1781" s="35">
        <v>4</v>
      </c>
      <c r="AS1781" s="35" t="s">
        <v>404</v>
      </c>
      <c r="BK1781" s="150">
        <v>3.1</v>
      </c>
      <c r="BL1781" s="150">
        <v>1.5</v>
      </c>
    </row>
    <row r="1782" spans="1:157" s="23" customFormat="1" x14ac:dyDescent="0.25">
      <c r="A1782" s="23">
        <v>83</v>
      </c>
      <c r="B1782" s="23" t="s">
        <v>1240</v>
      </c>
      <c r="C1782" s="23" t="s">
        <v>1241</v>
      </c>
      <c r="D1782" s="23">
        <v>2011</v>
      </c>
      <c r="E1782" s="23">
        <v>1990</v>
      </c>
      <c r="F1782" s="23" t="s">
        <v>524</v>
      </c>
      <c r="G1782" s="23" t="s">
        <v>1739</v>
      </c>
      <c r="H1782" s="23">
        <v>43.3</v>
      </c>
      <c r="I1782" s="23">
        <v>-89.35</v>
      </c>
      <c r="J1782" s="23">
        <v>317</v>
      </c>
      <c r="P1782" s="53" t="s">
        <v>179</v>
      </c>
      <c r="Q1782" s="53"/>
      <c r="R1782" s="53"/>
      <c r="S1782" s="53" t="s">
        <v>1659</v>
      </c>
      <c r="T1782" s="53" t="s">
        <v>1644</v>
      </c>
      <c r="X1782" s="23" t="s">
        <v>168</v>
      </c>
      <c r="AC1782" s="23" t="s">
        <v>148</v>
      </c>
      <c r="AD1782" s="153" t="str">
        <f t="shared" si="286"/>
        <v>Legume</v>
      </c>
      <c r="AE1782" s="23" t="s">
        <v>1741</v>
      </c>
      <c r="AJ1782" s="23" t="s">
        <v>601</v>
      </c>
      <c r="AK1782" s="23" t="s">
        <v>601</v>
      </c>
      <c r="AL1782" s="23" t="s">
        <v>230</v>
      </c>
      <c r="AP1782" s="23" t="s">
        <v>208</v>
      </c>
      <c r="AQ1782" s="23">
        <v>4</v>
      </c>
      <c r="AR1782" s="23">
        <v>4</v>
      </c>
      <c r="AS1782" s="23" t="s">
        <v>177</v>
      </c>
      <c r="BE1782" s="23">
        <v>1.32</v>
      </c>
      <c r="BF1782" s="23">
        <v>1.37</v>
      </c>
      <c r="BH1782" s="23">
        <v>2.5</v>
      </c>
      <c r="BI1782" s="23">
        <v>2.59</v>
      </c>
      <c r="BJ1782" s="23" t="s">
        <v>750</v>
      </c>
      <c r="BK1782" s="23">
        <f>2.43*100</f>
        <v>243.00000000000003</v>
      </c>
      <c r="BL1782" s="23">
        <f>2.68*100</f>
        <v>268</v>
      </c>
      <c r="BM1782" s="23" t="s">
        <v>292</v>
      </c>
      <c r="BN1782" s="23">
        <v>61.5</v>
      </c>
      <c r="BO1782" s="23">
        <v>72.8</v>
      </c>
      <c r="BQ1782" s="23">
        <v>135</v>
      </c>
      <c r="BR1782" s="23">
        <v>231</v>
      </c>
      <c r="BT1782" s="23">
        <v>6.9</v>
      </c>
      <c r="BU1782" s="23">
        <v>6.6</v>
      </c>
      <c r="CF1782" s="23">
        <v>817</v>
      </c>
      <c r="CG1782" s="23">
        <v>801</v>
      </c>
      <c r="CH1782" s="23" t="s">
        <v>1742</v>
      </c>
      <c r="CL1782" s="23">
        <v>0.71</v>
      </c>
      <c r="CM1782" s="23">
        <v>1.53</v>
      </c>
      <c r="DG1782" s="23">
        <v>28</v>
      </c>
      <c r="DH1782" s="23">
        <v>23</v>
      </c>
      <c r="DV1782" s="23">
        <v>1880</v>
      </c>
      <c r="DW1782" s="23">
        <v>1900</v>
      </c>
      <c r="DY1782" s="23">
        <v>37.4</v>
      </c>
      <c r="DZ1782" s="23">
        <v>36.799999999999997</v>
      </c>
      <c r="EQ1782" s="23">
        <v>250</v>
      </c>
      <c r="ER1782" s="23">
        <v>181</v>
      </c>
      <c r="EX1782" s="23">
        <v>99999</v>
      </c>
    </row>
    <row r="1783" spans="1:157" s="23" customFormat="1" x14ac:dyDescent="0.25">
      <c r="A1783" s="23">
        <v>83</v>
      </c>
      <c r="B1783" s="23" t="s">
        <v>1240</v>
      </c>
      <c r="C1783" s="23" t="s">
        <v>1241</v>
      </c>
      <c r="D1783" s="23">
        <v>2011</v>
      </c>
      <c r="E1783" s="23">
        <v>1990</v>
      </c>
      <c r="F1783" s="23" t="s">
        <v>524</v>
      </c>
      <c r="G1783" s="23" t="s">
        <v>1739</v>
      </c>
      <c r="H1783" s="23">
        <v>43.3</v>
      </c>
      <c r="I1783" s="23">
        <v>-89.35</v>
      </c>
      <c r="J1783" s="23">
        <v>317</v>
      </c>
      <c r="P1783" s="53" t="s">
        <v>179</v>
      </c>
      <c r="Q1783" s="53"/>
      <c r="R1783" s="53"/>
      <c r="S1783" s="53" t="s">
        <v>1659</v>
      </c>
      <c r="T1783" s="53" t="s">
        <v>1644</v>
      </c>
      <c r="X1783" s="23" t="s">
        <v>168</v>
      </c>
      <c r="AC1783" s="23" t="s">
        <v>148</v>
      </c>
      <c r="AD1783" s="153" t="str">
        <f t="shared" si="286"/>
        <v>Legume</v>
      </c>
      <c r="AE1783" s="23" t="s">
        <v>1740</v>
      </c>
      <c r="AJ1783" s="23" t="s">
        <v>601</v>
      </c>
      <c r="AK1783" s="23" t="s">
        <v>601</v>
      </c>
      <c r="AL1783" s="23" t="s">
        <v>230</v>
      </c>
      <c r="AP1783" s="23" t="s">
        <v>208</v>
      </c>
      <c r="AQ1783" s="23">
        <v>4</v>
      </c>
      <c r="AR1783" s="23">
        <v>4</v>
      </c>
      <c r="AS1783" s="23" t="s">
        <v>177</v>
      </c>
      <c r="BE1783" s="23">
        <v>1.1299999999999999</v>
      </c>
      <c r="BF1783" s="23">
        <v>1.32</v>
      </c>
      <c r="BH1783" s="23">
        <v>2.39</v>
      </c>
      <c r="BI1783" s="23">
        <v>2.39</v>
      </c>
      <c r="BJ1783" s="23" t="s">
        <v>750</v>
      </c>
      <c r="BK1783" s="23">
        <f>2.3*100</f>
        <v>229.99999999999997</v>
      </c>
      <c r="BL1783" s="23">
        <f>2.4*100</f>
        <v>240</v>
      </c>
      <c r="BM1783" s="23" t="s">
        <v>292</v>
      </c>
      <c r="BN1783" s="23">
        <v>58.6</v>
      </c>
      <c r="BO1783" s="23">
        <v>56.3</v>
      </c>
      <c r="BQ1783" s="23">
        <v>145</v>
      </c>
      <c r="BR1783" s="23">
        <v>173</v>
      </c>
      <c r="BT1783" s="23">
        <v>6.8</v>
      </c>
      <c r="BU1783" s="23">
        <v>6.7</v>
      </c>
      <c r="CF1783" s="23">
        <v>766</v>
      </c>
      <c r="CG1783" s="23">
        <v>829</v>
      </c>
      <c r="CH1783" s="23" t="s">
        <v>1742</v>
      </c>
      <c r="CL1783" s="23">
        <v>0.49</v>
      </c>
      <c r="CM1783" s="23">
        <v>1.32</v>
      </c>
      <c r="DG1783" s="23">
        <v>28</v>
      </c>
      <c r="DH1783" s="23">
        <v>26</v>
      </c>
      <c r="DV1783" s="23">
        <v>1810</v>
      </c>
      <c r="DW1783" s="23">
        <v>1890</v>
      </c>
      <c r="DY1783" s="23">
        <v>31.2</v>
      </c>
      <c r="DZ1783" s="23">
        <v>37.9</v>
      </c>
      <c r="EQ1783" s="23">
        <v>170</v>
      </c>
      <c r="ER1783" s="23">
        <v>204</v>
      </c>
      <c r="EX1783" s="23">
        <v>99999</v>
      </c>
    </row>
    <row r="1784" spans="1:157" s="23" customFormat="1" x14ac:dyDescent="0.25">
      <c r="A1784" s="23">
        <v>83</v>
      </c>
      <c r="B1784" s="23" t="s">
        <v>1240</v>
      </c>
      <c r="C1784" s="23" t="s">
        <v>1241</v>
      </c>
      <c r="D1784" s="23">
        <v>2011</v>
      </c>
      <c r="E1784" s="23">
        <v>1990</v>
      </c>
      <c r="F1784" s="23" t="s">
        <v>524</v>
      </c>
      <c r="G1784" s="23" t="s">
        <v>1739</v>
      </c>
      <c r="H1784" s="23">
        <v>43.3</v>
      </c>
      <c r="I1784" s="23">
        <v>-89.35</v>
      </c>
      <c r="J1784" s="23">
        <v>317</v>
      </c>
      <c r="P1784" s="53" t="s">
        <v>179</v>
      </c>
      <c r="Q1784" s="53"/>
      <c r="R1784" s="53"/>
      <c r="S1784" s="53" t="s">
        <v>1679</v>
      </c>
      <c r="T1784" s="53" t="s">
        <v>1644</v>
      </c>
      <c r="X1784" s="23" t="s">
        <v>168</v>
      </c>
      <c r="AC1784" s="23" t="s">
        <v>148</v>
      </c>
      <c r="AD1784" s="153" t="str">
        <f t="shared" si="286"/>
        <v>Legume</v>
      </c>
      <c r="AE1784" s="23" t="s">
        <v>1741</v>
      </c>
      <c r="AJ1784" s="23" t="s">
        <v>601</v>
      </c>
      <c r="AK1784" s="23" t="s">
        <v>601</v>
      </c>
      <c r="AL1784" s="23" t="s">
        <v>230</v>
      </c>
      <c r="AP1784" s="23" t="s">
        <v>208</v>
      </c>
      <c r="AQ1784" s="23">
        <v>4</v>
      </c>
      <c r="AR1784" s="23">
        <v>4</v>
      </c>
      <c r="AS1784" s="23" t="s">
        <v>177</v>
      </c>
      <c r="BE1784" s="23">
        <v>1.48</v>
      </c>
      <c r="BF1784" s="23">
        <v>1.37</v>
      </c>
      <c r="BH1784" s="23">
        <v>2.11</v>
      </c>
      <c r="BI1784" s="23">
        <v>2.2000000000000002</v>
      </c>
      <c r="BJ1784" s="23" t="s">
        <v>750</v>
      </c>
      <c r="BK1784" s="23">
        <v>210</v>
      </c>
      <c r="BL1784" s="23">
        <v>220</v>
      </c>
      <c r="BM1784" s="23" t="s">
        <v>292</v>
      </c>
      <c r="BN1784" s="23">
        <v>40.799999999999997</v>
      </c>
      <c r="BO1784" s="23">
        <v>50</v>
      </c>
      <c r="BQ1784" s="23">
        <v>72</v>
      </c>
      <c r="BR1784" s="23">
        <v>83</v>
      </c>
      <c r="BT1784" s="23">
        <v>6.8</v>
      </c>
      <c r="BU1784" s="23">
        <v>6.6</v>
      </c>
      <c r="CF1784" s="23">
        <v>857</v>
      </c>
      <c r="CG1784" s="23">
        <v>842</v>
      </c>
      <c r="CH1784" s="23" t="s">
        <v>1742</v>
      </c>
      <c r="CL1784" s="23">
        <v>0.91</v>
      </c>
      <c r="CM1784" s="23">
        <v>1.49</v>
      </c>
      <c r="DG1784" s="23">
        <v>26</v>
      </c>
      <c r="DH1784" s="23">
        <v>25</v>
      </c>
      <c r="DV1784" s="23">
        <v>1610</v>
      </c>
      <c r="DW1784" s="23">
        <v>1540</v>
      </c>
      <c r="DY1784" s="23">
        <v>23.3</v>
      </c>
      <c r="DZ1784" s="23">
        <v>25.9</v>
      </c>
      <c r="EQ1784" s="23">
        <v>144</v>
      </c>
      <c r="ER1784" s="23">
        <v>114</v>
      </c>
      <c r="EX1784" s="23">
        <v>99999</v>
      </c>
    </row>
    <row r="1785" spans="1:157" s="23" customFormat="1" x14ac:dyDescent="0.25">
      <c r="A1785" s="23">
        <v>83</v>
      </c>
      <c r="B1785" s="23" t="s">
        <v>1240</v>
      </c>
      <c r="C1785" s="23" t="s">
        <v>1241</v>
      </c>
      <c r="D1785" s="23">
        <v>2011</v>
      </c>
      <c r="E1785" s="23">
        <v>1990</v>
      </c>
      <c r="F1785" s="23" t="s">
        <v>524</v>
      </c>
      <c r="G1785" s="23" t="s">
        <v>1739</v>
      </c>
      <c r="H1785" s="23">
        <v>43.3</v>
      </c>
      <c r="I1785" s="23">
        <v>-89.35</v>
      </c>
      <c r="J1785" s="23">
        <v>317</v>
      </c>
      <c r="P1785" s="53" t="s">
        <v>179</v>
      </c>
      <c r="Q1785" s="53"/>
      <c r="R1785" s="53"/>
      <c r="S1785" s="53" t="s">
        <v>1679</v>
      </c>
      <c r="T1785" s="53" t="s">
        <v>1644</v>
      </c>
      <c r="X1785" s="23" t="s">
        <v>168</v>
      </c>
      <c r="AC1785" s="23" t="s">
        <v>148</v>
      </c>
      <c r="AD1785" s="153" t="str">
        <f t="shared" si="286"/>
        <v>Legume</v>
      </c>
      <c r="AE1785" s="23" t="s">
        <v>1740</v>
      </c>
      <c r="AJ1785" s="23" t="s">
        <v>601</v>
      </c>
      <c r="AK1785" s="23" t="s">
        <v>601</v>
      </c>
      <c r="AL1785" s="23" t="s">
        <v>230</v>
      </c>
      <c r="AP1785" s="23" t="s">
        <v>208</v>
      </c>
      <c r="AQ1785" s="23">
        <v>4</v>
      </c>
      <c r="AR1785" s="23">
        <v>4</v>
      </c>
      <c r="AS1785" s="23" t="s">
        <v>177</v>
      </c>
      <c r="BE1785" s="23">
        <v>1.37</v>
      </c>
      <c r="BF1785" s="23">
        <v>1.41</v>
      </c>
      <c r="BH1785" s="23">
        <v>2.2999999999999998</v>
      </c>
      <c r="BI1785" s="23">
        <v>2.4</v>
      </c>
      <c r="BJ1785" s="23" t="s">
        <v>750</v>
      </c>
      <c r="BK1785" s="23">
        <v>230</v>
      </c>
      <c r="BL1785" s="23">
        <v>230</v>
      </c>
      <c r="BM1785" s="23" t="s">
        <v>292</v>
      </c>
      <c r="BN1785" s="23">
        <v>46.8</v>
      </c>
      <c r="BO1785" s="23">
        <v>50.5</v>
      </c>
      <c r="BQ1785" s="23">
        <v>79</v>
      </c>
      <c r="BR1785" s="23">
        <v>75</v>
      </c>
      <c r="BT1785" s="23">
        <v>6.8</v>
      </c>
      <c r="BU1785" s="23">
        <v>6.7</v>
      </c>
      <c r="CF1785" s="23">
        <v>851</v>
      </c>
      <c r="CG1785" s="23">
        <v>882</v>
      </c>
      <c r="CH1785" s="23" t="s">
        <v>1742</v>
      </c>
      <c r="CL1785" s="23">
        <v>1.02</v>
      </c>
      <c r="CM1785" s="23">
        <v>1.75</v>
      </c>
      <c r="DG1785" s="23">
        <v>26</v>
      </c>
      <c r="DH1785" s="23">
        <v>26</v>
      </c>
      <c r="DV1785" s="23">
        <v>1840</v>
      </c>
      <c r="DW1785" s="23">
        <v>1820</v>
      </c>
      <c r="DY1785" s="23">
        <v>29.8</v>
      </c>
      <c r="DZ1785" s="23">
        <v>30.9</v>
      </c>
      <c r="EQ1785" s="23">
        <v>134</v>
      </c>
      <c r="ER1785" s="23">
        <v>95</v>
      </c>
      <c r="EX1785" s="23">
        <v>99999</v>
      </c>
    </row>
    <row r="1786" spans="1:157" s="35" customFormat="1" x14ac:dyDescent="0.25">
      <c r="A1786" s="35">
        <v>84</v>
      </c>
      <c r="B1786" s="35" t="s">
        <v>1745</v>
      </c>
      <c r="C1786" s="35" t="s">
        <v>1746</v>
      </c>
      <c r="D1786" s="35">
        <v>1998</v>
      </c>
      <c r="E1786" s="35">
        <v>1995</v>
      </c>
      <c r="F1786" s="35" t="s">
        <v>1747</v>
      </c>
      <c r="G1786" s="35" t="s">
        <v>1748</v>
      </c>
      <c r="H1786" s="35">
        <f t="shared" ref="H1786:H1797" si="287">58+23/60</f>
        <v>58.383333333333333</v>
      </c>
      <c r="I1786" s="35">
        <f t="shared" ref="I1786:I1797" si="288">-116-2/60</f>
        <v>-116.03333333333333</v>
      </c>
      <c r="J1786" s="35">
        <v>283</v>
      </c>
      <c r="P1786" s="54" t="s">
        <v>179</v>
      </c>
      <c r="Q1786" s="54"/>
      <c r="R1786" s="54"/>
      <c r="S1786" s="54" t="s">
        <v>1645</v>
      </c>
      <c r="T1786" s="54" t="s">
        <v>1645</v>
      </c>
      <c r="X1786" s="35" t="s">
        <v>298</v>
      </c>
      <c r="AC1786" s="35" t="s">
        <v>1799</v>
      </c>
      <c r="AD1786" s="153" t="str">
        <f t="shared" si="286"/>
        <v>Red_clover</v>
      </c>
      <c r="AE1786" s="35" t="s">
        <v>1749</v>
      </c>
      <c r="AP1786" s="35" t="s">
        <v>154</v>
      </c>
      <c r="AQ1786" s="35">
        <v>3</v>
      </c>
      <c r="AR1786" s="35">
        <v>3</v>
      </c>
      <c r="AS1786" s="35" t="s">
        <v>177</v>
      </c>
      <c r="AX1786" s="35" t="s">
        <v>1750</v>
      </c>
      <c r="DS1786" s="35">
        <v>4.0999999999999996</v>
      </c>
      <c r="DT1786" s="35">
        <v>4.17</v>
      </c>
      <c r="DU1786" s="35" t="s">
        <v>1753</v>
      </c>
      <c r="FA1786" s="35" t="s">
        <v>1756</v>
      </c>
    </row>
    <row r="1787" spans="1:157" s="35" customFormat="1" x14ac:dyDescent="0.25">
      <c r="A1787" s="35">
        <v>84</v>
      </c>
      <c r="B1787" s="35" t="s">
        <v>1745</v>
      </c>
      <c r="C1787" s="35" t="s">
        <v>1746</v>
      </c>
      <c r="D1787" s="35">
        <v>1998</v>
      </c>
      <c r="E1787" s="35">
        <v>1995</v>
      </c>
      <c r="F1787" s="35" t="s">
        <v>1747</v>
      </c>
      <c r="G1787" s="35" t="s">
        <v>1748</v>
      </c>
      <c r="H1787" s="35">
        <f t="shared" si="287"/>
        <v>58.383333333333333</v>
      </c>
      <c r="I1787" s="35">
        <f t="shared" si="288"/>
        <v>-116.03333333333333</v>
      </c>
      <c r="J1787" s="35">
        <v>283</v>
      </c>
      <c r="P1787" s="54" t="s">
        <v>179</v>
      </c>
      <c r="Q1787" s="54"/>
      <c r="R1787" s="54"/>
      <c r="S1787" s="54" t="s">
        <v>1645</v>
      </c>
      <c r="T1787" s="54" t="s">
        <v>1645</v>
      </c>
      <c r="X1787" s="35" t="s">
        <v>298</v>
      </c>
      <c r="AC1787" s="35" t="s">
        <v>1799</v>
      </c>
      <c r="AD1787" s="153" t="str">
        <f t="shared" si="286"/>
        <v>Red_clover</v>
      </c>
      <c r="AE1787" s="35" t="s">
        <v>1749</v>
      </c>
      <c r="AP1787" s="35" t="s">
        <v>154</v>
      </c>
      <c r="AQ1787" s="35">
        <v>3</v>
      </c>
      <c r="AR1787" s="35">
        <v>3</v>
      </c>
      <c r="AS1787" s="35" t="s">
        <v>177</v>
      </c>
      <c r="AX1787" s="35" t="s">
        <v>1751</v>
      </c>
      <c r="DS1787" s="35">
        <v>85</v>
      </c>
      <c r="DT1787" s="35">
        <v>92</v>
      </c>
      <c r="DU1787" s="35" t="s">
        <v>1755</v>
      </c>
      <c r="FA1787" s="35" t="s">
        <v>1756</v>
      </c>
    </row>
    <row r="1788" spans="1:157" s="35" customFormat="1" x14ac:dyDescent="0.25">
      <c r="A1788" s="35">
        <v>84</v>
      </c>
      <c r="B1788" s="35" t="s">
        <v>1745</v>
      </c>
      <c r="C1788" s="35" t="s">
        <v>1746</v>
      </c>
      <c r="D1788" s="35">
        <v>1998</v>
      </c>
      <c r="E1788" s="35">
        <v>1995</v>
      </c>
      <c r="F1788" s="35" t="s">
        <v>1747</v>
      </c>
      <c r="G1788" s="35" t="s">
        <v>1748</v>
      </c>
      <c r="H1788" s="35">
        <f t="shared" si="287"/>
        <v>58.383333333333333</v>
      </c>
      <c r="I1788" s="35">
        <f t="shared" si="288"/>
        <v>-116.03333333333333</v>
      </c>
      <c r="J1788" s="35">
        <v>283</v>
      </c>
      <c r="P1788" s="54" t="s">
        <v>179</v>
      </c>
      <c r="Q1788" s="54"/>
      <c r="R1788" s="54"/>
      <c r="S1788" s="54" t="s">
        <v>1645</v>
      </c>
      <c r="T1788" s="54" t="s">
        <v>1645</v>
      </c>
      <c r="X1788" s="35" t="s">
        <v>298</v>
      </c>
      <c r="AC1788" s="35" t="s">
        <v>1799</v>
      </c>
      <c r="AD1788" s="153" t="str">
        <f t="shared" si="286"/>
        <v>Red_clover</v>
      </c>
      <c r="AE1788" s="35" t="s">
        <v>1749</v>
      </c>
      <c r="AP1788" s="35" t="s">
        <v>154</v>
      </c>
      <c r="AQ1788" s="35">
        <v>3</v>
      </c>
      <c r="AR1788" s="35">
        <v>3</v>
      </c>
      <c r="AS1788" s="35" t="s">
        <v>177</v>
      </c>
      <c r="AX1788" s="35" t="s">
        <v>1752</v>
      </c>
      <c r="DS1788" s="35">
        <v>0.93</v>
      </c>
      <c r="DT1788" s="35">
        <v>0.92</v>
      </c>
      <c r="DU1788" s="35" t="s">
        <v>1754</v>
      </c>
      <c r="FA1788" s="35" t="s">
        <v>1756</v>
      </c>
    </row>
    <row r="1789" spans="1:157" s="35" customFormat="1" x14ac:dyDescent="0.25">
      <c r="A1789" s="35">
        <v>84</v>
      </c>
      <c r="B1789" s="35" t="s">
        <v>1745</v>
      </c>
      <c r="C1789" s="35" t="s">
        <v>1746</v>
      </c>
      <c r="D1789" s="35">
        <v>1998</v>
      </c>
      <c r="E1789" s="35">
        <v>1995</v>
      </c>
      <c r="F1789" s="35" t="s">
        <v>1747</v>
      </c>
      <c r="G1789" s="35" t="s">
        <v>1748</v>
      </c>
      <c r="H1789" s="35">
        <f t="shared" si="287"/>
        <v>58.383333333333333</v>
      </c>
      <c r="I1789" s="35">
        <f t="shared" si="288"/>
        <v>-116.03333333333333</v>
      </c>
      <c r="J1789" s="35">
        <v>283</v>
      </c>
      <c r="P1789" s="54" t="s">
        <v>179</v>
      </c>
      <c r="Q1789" s="54"/>
      <c r="R1789" s="54"/>
      <c r="S1789" s="54" t="s">
        <v>1645</v>
      </c>
      <c r="T1789" s="54" t="s">
        <v>1645</v>
      </c>
      <c r="X1789" s="35" t="s">
        <v>298</v>
      </c>
      <c r="AC1789" s="35" t="s">
        <v>1822</v>
      </c>
      <c r="AD1789" s="153" t="str">
        <f t="shared" si="286"/>
        <v>Field_pea</v>
      </c>
      <c r="AE1789" s="35" t="s">
        <v>1749</v>
      </c>
      <c r="AP1789" s="35" t="s">
        <v>154</v>
      </c>
      <c r="AQ1789" s="35">
        <v>3</v>
      </c>
      <c r="AR1789" s="35">
        <v>3</v>
      </c>
      <c r="AS1789" s="35" t="s">
        <v>177</v>
      </c>
      <c r="AX1789" s="35" t="s">
        <v>1750</v>
      </c>
      <c r="DS1789" s="35">
        <v>4.0999999999999996</v>
      </c>
      <c r="DT1789" s="35">
        <v>4.1100000000000003</v>
      </c>
      <c r="DU1789" s="35" t="s">
        <v>1753</v>
      </c>
      <c r="FA1789" s="35" t="s">
        <v>1756</v>
      </c>
    </row>
    <row r="1790" spans="1:157" s="35" customFormat="1" x14ac:dyDescent="0.25">
      <c r="A1790" s="35">
        <v>84</v>
      </c>
      <c r="B1790" s="35" t="s">
        <v>1745</v>
      </c>
      <c r="C1790" s="35" t="s">
        <v>1746</v>
      </c>
      <c r="D1790" s="35">
        <v>1998</v>
      </c>
      <c r="E1790" s="35">
        <v>1995</v>
      </c>
      <c r="F1790" s="35" t="s">
        <v>1747</v>
      </c>
      <c r="G1790" s="35" t="s">
        <v>1748</v>
      </c>
      <c r="H1790" s="35">
        <f t="shared" si="287"/>
        <v>58.383333333333333</v>
      </c>
      <c r="I1790" s="35">
        <f t="shared" si="288"/>
        <v>-116.03333333333333</v>
      </c>
      <c r="J1790" s="35">
        <v>283</v>
      </c>
      <c r="P1790" s="54" t="s">
        <v>179</v>
      </c>
      <c r="Q1790" s="54"/>
      <c r="R1790" s="54"/>
      <c r="S1790" s="54" t="s">
        <v>1645</v>
      </c>
      <c r="T1790" s="54" t="s">
        <v>1645</v>
      </c>
      <c r="X1790" s="35" t="s">
        <v>298</v>
      </c>
      <c r="AC1790" s="35" t="s">
        <v>1822</v>
      </c>
      <c r="AD1790" s="153" t="str">
        <f t="shared" si="286"/>
        <v>Field_pea</v>
      </c>
      <c r="AE1790" s="35" t="s">
        <v>1749</v>
      </c>
      <c r="AP1790" s="35" t="s">
        <v>154</v>
      </c>
      <c r="AQ1790" s="35">
        <v>3</v>
      </c>
      <c r="AR1790" s="35">
        <v>3</v>
      </c>
      <c r="AS1790" s="35" t="s">
        <v>177</v>
      </c>
      <c r="AX1790" s="35" t="s">
        <v>1751</v>
      </c>
      <c r="DS1790" s="35">
        <v>85</v>
      </c>
      <c r="DT1790" s="35">
        <v>91</v>
      </c>
      <c r="DU1790" s="35" t="s">
        <v>1755</v>
      </c>
      <c r="FA1790" s="35" t="s">
        <v>1756</v>
      </c>
    </row>
    <row r="1791" spans="1:157" s="35" customFormat="1" x14ac:dyDescent="0.25">
      <c r="A1791" s="35">
        <v>84</v>
      </c>
      <c r="B1791" s="35" t="s">
        <v>1745</v>
      </c>
      <c r="C1791" s="35" t="s">
        <v>1746</v>
      </c>
      <c r="D1791" s="35">
        <v>1998</v>
      </c>
      <c r="E1791" s="35">
        <v>1995</v>
      </c>
      <c r="F1791" s="35" t="s">
        <v>1747</v>
      </c>
      <c r="G1791" s="35" t="s">
        <v>1748</v>
      </c>
      <c r="H1791" s="35">
        <f t="shared" si="287"/>
        <v>58.383333333333333</v>
      </c>
      <c r="I1791" s="35">
        <f t="shared" si="288"/>
        <v>-116.03333333333333</v>
      </c>
      <c r="J1791" s="35">
        <v>283</v>
      </c>
      <c r="P1791" s="54" t="s">
        <v>179</v>
      </c>
      <c r="Q1791" s="54"/>
      <c r="R1791" s="54"/>
      <c r="S1791" s="54" t="s">
        <v>1645</v>
      </c>
      <c r="T1791" s="54" t="s">
        <v>1645</v>
      </c>
      <c r="X1791" s="35" t="s">
        <v>298</v>
      </c>
      <c r="AC1791" s="35" t="s">
        <v>1822</v>
      </c>
      <c r="AD1791" s="153" t="str">
        <f t="shared" si="286"/>
        <v>Field_pea</v>
      </c>
      <c r="AE1791" s="35" t="s">
        <v>1749</v>
      </c>
      <c r="AP1791" s="35" t="s">
        <v>154</v>
      </c>
      <c r="AQ1791" s="35">
        <v>3</v>
      </c>
      <c r="AR1791" s="35">
        <v>3</v>
      </c>
      <c r="AS1791" s="35" t="s">
        <v>177</v>
      </c>
      <c r="AX1791" s="35" t="s">
        <v>1752</v>
      </c>
      <c r="DS1791" s="35">
        <v>0.93</v>
      </c>
      <c r="DT1791" s="35">
        <v>0.91</v>
      </c>
      <c r="DU1791" s="35" t="s">
        <v>1754</v>
      </c>
      <c r="FA1791" s="35" t="s">
        <v>1756</v>
      </c>
    </row>
    <row r="1792" spans="1:157" s="26" customFormat="1" x14ac:dyDescent="0.25">
      <c r="A1792" s="26">
        <v>84</v>
      </c>
      <c r="B1792" s="26" t="s">
        <v>1745</v>
      </c>
      <c r="C1792" s="26" t="s">
        <v>1746</v>
      </c>
      <c r="D1792" s="26">
        <v>1998</v>
      </c>
      <c r="E1792" s="26">
        <v>1996</v>
      </c>
      <c r="F1792" s="26" t="s">
        <v>1747</v>
      </c>
      <c r="G1792" s="26" t="s">
        <v>1748</v>
      </c>
      <c r="H1792" s="26">
        <f t="shared" si="287"/>
        <v>58.383333333333333</v>
      </c>
      <c r="I1792" s="26">
        <f t="shared" si="288"/>
        <v>-116.03333333333333</v>
      </c>
      <c r="J1792" s="26">
        <v>283</v>
      </c>
      <c r="P1792" s="52" t="s">
        <v>180</v>
      </c>
      <c r="Q1792" s="52"/>
      <c r="R1792" s="52"/>
      <c r="S1792" s="52" t="s">
        <v>1645</v>
      </c>
      <c r="T1792" s="52" t="s">
        <v>1645</v>
      </c>
      <c r="X1792" s="26" t="s">
        <v>298</v>
      </c>
      <c r="AC1792" s="26" t="s">
        <v>1799</v>
      </c>
      <c r="AD1792" s="153" t="str">
        <f t="shared" si="286"/>
        <v>Red_clover</v>
      </c>
      <c r="AE1792" s="26" t="s">
        <v>1749</v>
      </c>
      <c r="AP1792" s="26" t="s">
        <v>154</v>
      </c>
      <c r="AQ1792" s="26">
        <v>3</v>
      </c>
      <c r="AR1792" s="26">
        <v>3</v>
      </c>
      <c r="AS1792" s="26" t="s">
        <v>177</v>
      </c>
      <c r="AX1792" s="26" t="s">
        <v>1750</v>
      </c>
      <c r="DS1792" s="26">
        <v>3.71</v>
      </c>
      <c r="DT1792" s="26">
        <v>4.09</v>
      </c>
      <c r="DU1792" s="26" t="s">
        <v>1753</v>
      </c>
      <c r="FA1792" s="26" t="s">
        <v>1756</v>
      </c>
    </row>
    <row r="1793" spans="1:157" s="26" customFormat="1" x14ac:dyDescent="0.25">
      <c r="A1793" s="26">
        <v>84</v>
      </c>
      <c r="B1793" s="26" t="s">
        <v>1745</v>
      </c>
      <c r="C1793" s="26" t="s">
        <v>1746</v>
      </c>
      <c r="D1793" s="26">
        <v>1998</v>
      </c>
      <c r="E1793" s="26">
        <v>1996</v>
      </c>
      <c r="F1793" s="26" t="s">
        <v>1747</v>
      </c>
      <c r="G1793" s="26" t="s">
        <v>1748</v>
      </c>
      <c r="H1793" s="26">
        <f t="shared" si="287"/>
        <v>58.383333333333333</v>
      </c>
      <c r="I1793" s="26">
        <f t="shared" si="288"/>
        <v>-116.03333333333333</v>
      </c>
      <c r="J1793" s="26">
        <v>283</v>
      </c>
      <c r="P1793" s="52" t="s">
        <v>180</v>
      </c>
      <c r="Q1793" s="52"/>
      <c r="R1793" s="52"/>
      <c r="S1793" s="52" t="s">
        <v>1645</v>
      </c>
      <c r="T1793" s="52" t="s">
        <v>1645</v>
      </c>
      <c r="X1793" s="26" t="s">
        <v>298</v>
      </c>
      <c r="AC1793" s="26" t="s">
        <v>1799</v>
      </c>
      <c r="AD1793" s="153" t="str">
        <f t="shared" si="286"/>
        <v>Red_clover</v>
      </c>
      <c r="AE1793" s="26" t="s">
        <v>1749</v>
      </c>
      <c r="AP1793" s="26" t="s">
        <v>154</v>
      </c>
      <c r="AQ1793" s="26">
        <v>3</v>
      </c>
      <c r="AR1793" s="26">
        <v>3</v>
      </c>
      <c r="AS1793" s="26" t="s">
        <v>177</v>
      </c>
      <c r="AX1793" s="26" t="s">
        <v>1751</v>
      </c>
      <c r="DS1793" s="26">
        <v>71</v>
      </c>
      <c r="DT1793" s="26">
        <v>91</v>
      </c>
      <c r="DU1793" s="26" t="s">
        <v>1755</v>
      </c>
      <c r="FA1793" s="26" t="s">
        <v>1756</v>
      </c>
    </row>
    <row r="1794" spans="1:157" s="26" customFormat="1" x14ac:dyDescent="0.25">
      <c r="A1794" s="26">
        <v>84</v>
      </c>
      <c r="B1794" s="26" t="s">
        <v>1745</v>
      </c>
      <c r="C1794" s="26" t="s">
        <v>1746</v>
      </c>
      <c r="D1794" s="26">
        <v>1998</v>
      </c>
      <c r="E1794" s="26">
        <v>1996</v>
      </c>
      <c r="F1794" s="26" t="s">
        <v>1747</v>
      </c>
      <c r="G1794" s="26" t="s">
        <v>1748</v>
      </c>
      <c r="H1794" s="26">
        <f t="shared" si="287"/>
        <v>58.383333333333333</v>
      </c>
      <c r="I1794" s="26">
        <f t="shared" si="288"/>
        <v>-116.03333333333333</v>
      </c>
      <c r="J1794" s="26">
        <v>283</v>
      </c>
      <c r="P1794" s="52" t="s">
        <v>180</v>
      </c>
      <c r="Q1794" s="52"/>
      <c r="R1794" s="52"/>
      <c r="S1794" s="52" t="s">
        <v>1645</v>
      </c>
      <c r="T1794" s="52" t="s">
        <v>1645</v>
      </c>
      <c r="X1794" s="26" t="s">
        <v>298</v>
      </c>
      <c r="AC1794" s="26" t="s">
        <v>1799</v>
      </c>
      <c r="AD1794" s="153" t="str">
        <f t="shared" si="286"/>
        <v>Red_clover</v>
      </c>
      <c r="AE1794" s="26" t="s">
        <v>1749</v>
      </c>
      <c r="AP1794" s="26" t="s">
        <v>154</v>
      </c>
      <c r="AQ1794" s="26">
        <v>3</v>
      </c>
      <c r="AR1794" s="26">
        <v>3</v>
      </c>
      <c r="AS1794" s="26" t="s">
        <v>177</v>
      </c>
      <c r="AX1794" s="26" t="s">
        <v>1752</v>
      </c>
      <c r="DS1794" s="26">
        <v>0.87</v>
      </c>
      <c r="DT1794" s="26">
        <v>0.91</v>
      </c>
      <c r="DU1794" s="26" t="s">
        <v>1754</v>
      </c>
      <c r="FA1794" s="26" t="s">
        <v>1756</v>
      </c>
    </row>
    <row r="1795" spans="1:157" s="26" customFormat="1" x14ac:dyDescent="0.25">
      <c r="A1795" s="26">
        <v>84</v>
      </c>
      <c r="B1795" s="26" t="s">
        <v>1745</v>
      </c>
      <c r="C1795" s="26" t="s">
        <v>1746</v>
      </c>
      <c r="D1795" s="26">
        <v>1998</v>
      </c>
      <c r="E1795" s="26">
        <v>1996</v>
      </c>
      <c r="F1795" s="26" t="s">
        <v>1747</v>
      </c>
      <c r="G1795" s="26" t="s">
        <v>1748</v>
      </c>
      <c r="H1795" s="26">
        <f t="shared" si="287"/>
        <v>58.383333333333333</v>
      </c>
      <c r="I1795" s="26">
        <f t="shared" si="288"/>
        <v>-116.03333333333333</v>
      </c>
      <c r="J1795" s="26">
        <v>283</v>
      </c>
      <c r="P1795" s="52" t="s">
        <v>180</v>
      </c>
      <c r="Q1795" s="52"/>
      <c r="R1795" s="52"/>
      <c r="S1795" s="52" t="s">
        <v>1645</v>
      </c>
      <c r="T1795" s="52" t="s">
        <v>1645</v>
      </c>
      <c r="X1795" s="26" t="s">
        <v>298</v>
      </c>
      <c r="AC1795" s="26" t="s">
        <v>1822</v>
      </c>
      <c r="AD1795" s="153" t="str">
        <f t="shared" ref="AD1795:AD1825" si="289">IF(OR(AC1795="*Rye",AC1795="Rye*",AC1795="Downy_brome"),"Rye",IF(OR(AC1795="*Oat",AC1795="Oat*",AC1795="Trudan_8",AC1795="*Wheat",AC1795="Wheat*",AC1795="Barley*",AC1795="Hemp",AC1795="Hemp",AC1795="Triticale*",AC1795="Grass",AC1795="Millet"),"Grass",IF(OR(AC1795="*clover",AC1795="clover*",AC1795="Vetch*",AC1795="Vetch*",AC1795="Alfalfa",AC1795="Soybean",AC1795="*Lentil",AC1795="Lentil*",AC1795="*Pea",AC1795="Pea*",AC1795="Lupine"),"Legume",AC1795)))</f>
        <v>Field_pea</v>
      </c>
      <c r="AE1795" s="26" t="s">
        <v>1749</v>
      </c>
      <c r="AP1795" s="26" t="s">
        <v>154</v>
      </c>
      <c r="AQ1795" s="26">
        <v>3</v>
      </c>
      <c r="AR1795" s="26">
        <v>3</v>
      </c>
      <c r="AS1795" s="26" t="s">
        <v>177</v>
      </c>
      <c r="AX1795" s="26" t="s">
        <v>1750</v>
      </c>
      <c r="DS1795" s="26">
        <v>3.71</v>
      </c>
      <c r="DT1795" s="26">
        <v>4.04</v>
      </c>
      <c r="DU1795" s="26" t="s">
        <v>1753</v>
      </c>
      <c r="FA1795" s="26" t="s">
        <v>1756</v>
      </c>
    </row>
    <row r="1796" spans="1:157" s="26" customFormat="1" x14ac:dyDescent="0.25">
      <c r="A1796" s="26">
        <v>84</v>
      </c>
      <c r="B1796" s="26" t="s">
        <v>1745</v>
      </c>
      <c r="C1796" s="26" t="s">
        <v>1746</v>
      </c>
      <c r="D1796" s="26">
        <v>1998</v>
      </c>
      <c r="E1796" s="26">
        <v>1996</v>
      </c>
      <c r="F1796" s="26" t="s">
        <v>1747</v>
      </c>
      <c r="G1796" s="26" t="s">
        <v>1748</v>
      </c>
      <c r="H1796" s="26">
        <f t="shared" si="287"/>
        <v>58.383333333333333</v>
      </c>
      <c r="I1796" s="26">
        <f t="shared" si="288"/>
        <v>-116.03333333333333</v>
      </c>
      <c r="J1796" s="26">
        <v>283</v>
      </c>
      <c r="P1796" s="52" t="s">
        <v>180</v>
      </c>
      <c r="Q1796" s="52"/>
      <c r="R1796" s="52"/>
      <c r="S1796" s="52" t="s">
        <v>1645</v>
      </c>
      <c r="T1796" s="52" t="s">
        <v>1645</v>
      </c>
      <c r="X1796" s="26" t="s">
        <v>298</v>
      </c>
      <c r="AC1796" s="26" t="s">
        <v>1822</v>
      </c>
      <c r="AD1796" s="153" t="str">
        <f t="shared" si="289"/>
        <v>Field_pea</v>
      </c>
      <c r="AE1796" s="26" t="s">
        <v>1749</v>
      </c>
      <c r="AP1796" s="26" t="s">
        <v>154</v>
      </c>
      <c r="AQ1796" s="26">
        <v>3</v>
      </c>
      <c r="AR1796" s="26">
        <v>3</v>
      </c>
      <c r="AS1796" s="26" t="s">
        <v>177</v>
      </c>
      <c r="AX1796" s="26" t="s">
        <v>1751</v>
      </c>
      <c r="DS1796" s="26">
        <v>71</v>
      </c>
      <c r="DT1796" s="26">
        <v>88</v>
      </c>
      <c r="DU1796" s="26" t="s">
        <v>1755</v>
      </c>
      <c r="FA1796" s="26" t="s">
        <v>1756</v>
      </c>
    </row>
    <row r="1797" spans="1:157" s="26" customFormat="1" x14ac:dyDescent="0.25">
      <c r="A1797" s="26">
        <v>84</v>
      </c>
      <c r="B1797" s="26" t="s">
        <v>1745</v>
      </c>
      <c r="C1797" s="26" t="s">
        <v>1746</v>
      </c>
      <c r="D1797" s="26">
        <v>1998</v>
      </c>
      <c r="E1797" s="26">
        <v>1996</v>
      </c>
      <c r="F1797" s="26" t="s">
        <v>1747</v>
      </c>
      <c r="G1797" s="26" t="s">
        <v>1748</v>
      </c>
      <c r="H1797" s="26">
        <f t="shared" si="287"/>
        <v>58.383333333333333</v>
      </c>
      <c r="I1797" s="26">
        <f t="shared" si="288"/>
        <v>-116.03333333333333</v>
      </c>
      <c r="J1797" s="26">
        <v>283</v>
      </c>
      <c r="P1797" s="52" t="s">
        <v>180</v>
      </c>
      <c r="Q1797" s="52"/>
      <c r="R1797" s="52"/>
      <c r="S1797" s="52" t="s">
        <v>1645</v>
      </c>
      <c r="T1797" s="52" t="s">
        <v>1645</v>
      </c>
      <c r="X1797" s="26" t="s">
        <v>298</v>
      </c>
      <c r="AC1797" s="26" t="s">
        <v>1822</v>
      </c>
      <c r="AD1797" s="153" t="str">
        <f t="shared" si="289"/>
        <v>Field_pea</v>
      </c>
      <c r="AE1797" s="26" t="s">
        <v>1749</v>
      </c>
      <c r="AP1797" s="26" t="s">
        <v>154</v>
      </c>
      <c r="AQ1797" s="26">
        <v>3</v>
      </c>
      <c r="AR1797" s="26">
        <v>3</v>
      </c>
      <c r="AS1797" s="26" t="s">
        <v>177</v>
      </c>
      <c r="AX1797" s="26" t="s">
        <v>1752</v>
      </c>
      <c r="DS1797" s="26">
        <v>0.87</v>
      </c>
      <c r="DT1797" s="26">
        <v>0.9</v>
      </c>
      <c r="DU1797" s="26" t="s">
        <v>1754</v>
      </c>
      <c r="FA1797" s="26" t="s">
        <v>1756</v>
      </c>
    </row>
    <row r="1798" spans="1:157" s="43" customFormat="1" x14ac:dyDescent="0.25">
      <c r="A1798" s="43">
        <v>85</v>
      </c>
      <c r="B1798" s="43" t="s">
        <v>1757</v>
      </c>
      <c r="C1798" s="43" t="s">
        <v>1758</v>
      </c>
      <c r="D1798" s="43">
        <v>2018</v>
      </c>
      <c r="E1798" s="43">
        <v>2014</v>
      </c>
      <c r="F1798" s="43" t="s">
        <v>357</v>
      </c>
      <c r="G1798" s="43" t="s">
        <v>1759</v>
      </c>
      <c r="H1798" s="43">
        <v>34.67</v>
      </c>
      <c r="I1798" s="43">
        <v>-82.85</v>
      </c>
      <c r="J1798" s="43">
        <v>191</v>
      </c>
      <c r="P1798" s="61" t="s">
        <v>179</v>
      </c>
      <c r="Q1798" s="61"/>
      <c r="R1798" s="61"/>
      <c r="S1798" s="61" t="s">
        <v>1647</v>
      </c>
      <c r="T1798" s="61" t="s">
        <v>1647</v>
      </c>
      <c r="X1798" s="43" t="s">
        <v>298</v>
      </c>
      <c r="AC1798" s="43" t="s">
        <v>1864</v>
      </c>
      <c r="AD1798" s="153" t="str">
        <f t="shared" si="289"/>
        <v>CerealRye/CrimsonClover</v>
      </c>
      <c r="AE1798" s="43" t="s">
        <v>300</v>
      </c>
      <c r="AG1798" s="43" t="s">
        <v>1327</v>
      </c>
      <c r="AH1798" s="43" t="s">
        <v>1327</v>
      </c>
      <c r="AI1798" s="43" t="s">
        <v>230</v>
      </c>
      <c r="AJ1798" s="43" t="s">
        <v>601</v>
      </c>
      <c r="AK1798" s="43" t="s">
        <v>203</v>
      </c>
      <c r="AL1798" s="43" t="s">
        <v>618</v>
      </c>
      <c r="AM1798" s="43" t="s">
        <v>1764</v>
      </c>
      <c r="AN1798" s="43" t="s">
        <v>1764</v>
      </c>
      <c r="AO1798" s="43" t="s">
        <v>230</v>
      </c>
      <c r="AP1798" s="43" t="s">
        <v>208</v>
      </c>
      <c r="AQ1798" s="43">
        <v>3</v>
      </c>
      <c r="AR1798" s="43">
        <v>3</v>
      </c>
      <c r="AS1798" s="43" t="s">
        <v>404</v>
      </c>
      <c r="BB1798" s="43">
        <f>10.8*1000</f>
        <v>10800</v>
      </c>
      <c r="BC1798" s="43">
        <f>19.7*1000</f>
        <v>19700</v>
      </c>
      <c r="BK1798" s="43">
        <v>61.3</v>
      </c>
      <c r="BL1798" s="43">
        <v>74.099999999999994</v>
      </c>
      <c r="BM1798" s="43" t="s">
        <v>1763</v>
      </c>
      <c r="DY1798" s="43">
        <v>52</v>
      </c>
      <c r="DZ1798" s="43">
        <v>61.4</v>
      </c>
      <c r="EA1798" s="43" t="s">
        <v>1760</v>
      </c>
      <c r="EY1798" s="43">
        <v>99999</v>
      </c>
      <c r="FA1798" s="43" t="s">
        <v>1761</v>
      </c>
    </row>
    <row r="1799" spans="1:157" s="43" customFormat="1" x14ac:dyDescent="0.25">
      <c r="A1799" s="43">
        <v>85</v>
      </c>
      <c r="B1799" s="43" t="s">
        <v>1757</v>
      </c>
      <c r="C1799" s="43" t="s">
        <v>1758</v>
      </c>
      <c r="D1799" s="43">
        <v>2018</v>
      </c>
      <c r="E1799" s="43">
        <v>2015</v>
      </c>
      <c r="F1799" s="43" t="s">
        <v>357</v>
      </c>
      <c r="G1799" s="43" t="s">
        <v>1759</v>
      </c>
      <c r="H1799" s="43">
        <v>34.67</v>
      </c>
      <c r="I1799" s="43">
        <v>-82.85</v>
      </c>
      <c r="J1799" s="43">
        <v>191</v>
      </c>
      <c r="P1799" s="61" t="s">
        <v>180</v>
      </c>
      <c r="Q1799" s="61"/>
      <c r="R1799" s="61"/>
      <c r="S1799" s="61" t="s">
        <v>1647</v>
      </c>
      <c r="T1799" s="61" t="s">
        <v>1647</v>
      </c>
      <c r="X1799" s="43" t="s">
        <v>298</v>
      </c>
      <c r="AC1799" s="43" t="s">
        <v>1864</v>
      </c>
      <c r="AD1799" s="153" t="str">
        <f t="shared" si="289"/>
        <v>CerealRye/CrimsonClover</v>
      </c>
      <c r="AE1799" s="43" t="s">
        <v>300</v>
      </c>
      <c r="AG1799" s="43" t="s">
        <v>1327</v>
      </c>
      <c r="AH1799" s="43" t="s">
        <v>1327</v>
      </c>
      <c r="AI1799" s="43" t="s">
        <v>230</v>
      </c>
      <c r="AJ1799" s="43" t="s">
        <v>601</v>
      </c>
      <c r="AK1799" s="43" t="s">
        <v>203</v>
      </c>
      <c r="AL1799" s="43" t="s">
        <v>618</v>
      </c>
      <c r="AM1799" s="43" t="s">
        <v>1764</v>
      </c>
      <c r="AN1799" s="43" t="s">
        <v>1764</v>
      </c>
      <c r="AO1799" s="43" t="s">
        <v>230</v>
      </c>
      <c r="AP1799" s="43" t="s">
        <v>208</v>
      </c>
      <c r="AQ1799" s="43">
        <v>3</v>
      </c>
      <c r="AR1799" s="43">
        <v>3</v>
      </c>
      <c r="AS1799" s="43" t="s">
        <v>404</v>
      </c>
      <c r="BB1799" s="43">
        <f>31*1000</f>
        <v>31000</v>
      </c>
      <c r="BC1799" s="43">
        <f>21.2*1000</f>
        <v>21200</v>
      </c>
      <c r="BK1799" s="43">
        <v>113.4</v>
      </c>
      <c r="BL1799" s="43">
        <v>102.6</v>
      </c>
      <c r="BM1799" s="43" t="s">
        <v>1763</v>
      </c>
      <c r="DY1799" s="43">
        <v>100.1</v>
      </c>
      <c r="DZ1799" s="43">
        <v>95</v>
      </c>
      <c r="EA1799" s="43" t="s">
        <v>1760</v>
      </c>
      <c r="EY1799" s="43">
        <v>99999</v>
      </c>
      <c r="FA1799" s="43" t="s">
        <v>1761</v>
      </c>
    </row>
    <row r="1800" spans="1:157" s="43" customFormat="1" x14ac:dyDescent="0.25">
      <c r="A1800" s="43">
        <v>85</v>
      </c>
      <c r="B1800" s="43" t="s">
        <v>1757</v>
      </c>
      <c r="C1800" s="43" t="s">
        <v>1758</v>
      </c>
      <c r="D1800" s="43">
        <v>2018</v>
      </c>
      <c r="E1800" s="43">
        <v>2014</v>
      </c>
      <c r="F1800" s="43" t="s">
        <v>357</v>
      </c>
      <c r="G1800" s="43" t="s">
        <v>1759</v>
      </c>
      <c r="H1800" s="43">
        <v>34.67</v>
      </c>
      <c r="I1800" s="43">
        <v>-82.85</v>
      </c>
      <c r="J1800" s="43">
        <v>191</v>
      </c>
      <c r="P1800" s="61" t="s">
        <v>179</v>
      </c>
      <c r="Q1800" s="61"/>
      <c r="R1800" s="61"/>
      <c r="S1800" s="61" t="s">
        <v>1647</v>
      </c>
      <c r="T1800" s="61" t="s">
        <v>1647</v>
      </c>
      <c r="X1800" s="43" t="s">
        <v>298</v>
      </c>
      <c r="AC1800" s="43" t="s">
        <v>1864</v>
      </c>
      <c r="AD1800" s="153" t="str">
        <f t="shared" si="289"/>
        <v>CerealRye/CrimsonClover</v>
      </c>
      <c r="AE1800" s="43" t="s">
        <v>1762</v>
      </c>
      <c r="AG1800" s="43" t="s">
        <v>1327</v>
      </c>
      <c r="AH1800" s="43" t="s">
        <v>1327</v>
      </c>
      <c r="AI1800" s="43" t="s">
        <v>230</v>
      </c>
      <c r="AJ1800" s="43" t="s">
        <v>601</v>
      </c>
      <c r="AK1800" s="43" t="s">
        <v>203</v>
      </c>
      <c r="AL1800" s="43" t="s">
        <v>618</v>
      </c>
      <c r="AM1800" s="43" t="s">
        <v>1764</v>
      </c>
      <c r="AN1800" s="43" t="s">
        <v>1764</v>
      </c>
      <c r="AO1800" s="43" t="s">
        <v>230</v>
      </c>
      <c r="AP1800" s="43" t="s">
        <v>208</v>
      </c>
      <c r="AQ1800" s="43">
        <v>3</v>
      </c>
      <c r="AR1800" s="43">
        <v>3</v>
      </c>
      <c r="AS1800" s="43" t="s">
        <v>404</v>
      </c>
      <c r="BB1800" s="43">
        <f>57.8*1000</f>
        <v>57800</v>
      </c>
      <c r="BC1800" s="43">
        <f>54.5*1000</f>
        <v>54500</v>
      </c>
      <c r="BK1800" s="43">
        <v>65.900000000000006</v>
      </c>
      <c r="BL1800" s="43">
        <v>78.599999999999994</v>
      </c>
      <c r="BM1800" s="43" t="s">
        <v>1763</v>
      </c>
      <c r="DY1800" s="43">
        <v>55</v>
      </c>
      <c r="DZ1800" s="43">
        <v>65.2</v>
      </c>
      <c r="EA1800" s="43" t="s">
        <v>1760</v>
      </c>
      <c r="EY1800" s="43">
        <v>99999</v>
      </c>
      <c r="FA1800" s="43" t="s">
        <v>1761</v>
      </c>
    </row>
    <row r="1801" spans="1:157" s="43" customFormat="1" x14ac:dyDescent="0.25">
      <c r="A1801" s="43">
        <v>85</v>
      </c>
      <c r="B1801" s="43" t="s">
        <v>1757</v>
      </c>
      <c r="C1801" s="43" t="s">
        <v>1758</v>
      </c>
      <c r="D1801" s="43">
        <v>2018</v>
      </c>
      <c r="E1801" s="43">
        <v>2015</v>
      </c>
      <c r="F1801" s="43" t="s">
        <v>357</v>
      </c>
      <c r="G1801" s="43" t="s">
        <v>1759</v>
      </c>
      <c r="H1801" s="43">
        <v>34.67</v>
      </c>
      <c r="I1801" s="43">
        <v>-82.85</v>
      </c>
      <c r="J1801" s="43">
        <v>191</v>
      </c>
      <c r="P1801" s="61" t="s">
        <v>180</v>
      </c>
      <c r="Q1801" s="61"/>
      <c r="R1801" s="61"/>
      <c r="S1801" s="61" t="s">
        <v>1647</v>
      </c>
      <c r="T1801" s="61" t="s">
        <v>1647</v>
      </c>
      <c r="X1801" s="43" t="s">
        <v>298</v>
      </c>
      <c r="AC1801" s="43" t="s">
        <v>1864</v>
      </c>
      <c r="AD1801" s="153" t="str">
        <f t="shared" si="289"/>
        <v>CerealRye/CrimsonClover</v>
      </c>
      <c r="AE1801" s="43" t="s">
        <v>1762</v>
      </c>
      <c r="AG1801" s="43" t="s">
        <v>1327</v>
      </c>
      <c r="AH1801" s="43" t="s">
        <v>1327</v>
      </c>
      <c r="AI1801" s="43" t="s">
        <v>230</v>
      </c>
      <c r="AJ1801" s="43" t="s">
        <v>601</v>
      </c>
      <c r="AK1801" s="43" t="s">
        <v>203</v>
      </c>
      <c r="AL1801" s="43" t="s">
        <v>618</v>
      </c>
      <c r="AM1801" s="43" t="s">
        <v>1764</v>
      </c>
      <c r="AN1801" s="43" t="s">
        <v>1764</v>
      </c>
      <c r="AO1801" s="43" t="s">
        <v>230</v>
      </c>
      <c r="AP1801" s="43" t="s">
        <v>208</v>
      </c>
      <c r="AQ1801" s="43">
        <v>3</v>
      </c>
      <c r="AR1801" s="43">
        <v>3</v>
      </c>
      <c r="AS1801" s="43" t="s">
        <v>404</v>
      </c>
      <c r="BB1801" s="43">
        <f>25.14*1000</f>
        <v>25140</v>
      </c>
      <c r="BC1801" s="43">
        <f>23.32*1000</f>
        <v>23320</v>
      </c>
      <c r="BK1801" s="43">
        <v>103.8</v>
      </c>
      <c r="BL1801" s="43">
        <v>100</v>
      </c>
      <c r="BM1801" s="43" t="s">
        <v>1763</v>
      </c>
      <c r="DY1801" s="43">
        <v>91.8</v>
      </c>
      <c r="DZ1801" s="43">
        <v>90.6</v>
      </c>
      <c r="EA1801" s="43" t="s">
        <v>1760</v>
      </c>
      <c r="EY1801" s="43">
        <v>99999</v>
      </c>
      <c r="FA1801" s="43" t="s">
        <v>1761</v>
      </c>
    </row>
    <row r="1802" spans="1:157" s="35" customFormat="1" x14ac:dyDescent="0.25">
      <c r="A1802" s="35">
        <v>86</v>
      </c>
      <c r="B1802" s="35" t="s">
        <v>1272</v>
      </c>
      <c r="C1802" s="35" t="s">
        <v>1273</v>
      </c>
      <c r="D1802" s="35">
        <v>2006</v>
      </c>
      <c r="E1802" s="35">
        <v>2002</v>
      </c>
      <c r="F1802" s="35" t="s">
        <v>395</v>
      </c>
      <c r="G1802" s="35" t="s">
        <v>1765</v>
      </c>
      <c r="H1802" s="35">
        <v>40.07</v>
      </c>
      <c r="I1802" s="35">
        <v>-82.85</v>
      </c>
      <c r="J1802" s="35">
        <v>223</v>
      </c>
      <c r="P1802" s="54" t="s">
        <v>179</v>
      </c>
      <c r="Q1802" s="54"/>
      <c r="R1802" s="54"/>
      <c r="S1802" s="54" t="s">
        <v>1659</v>
      </c>
      <c r="T1802" s="54" t="s">
        <v>1654</v>
      </c>
      <c r="U1802" s="35">
        <f t="shared" ref="U1802:U1825" si="290">(1.32+1.4+1.45+1.45)/4</f>
        <v>1.405</v>
      </c>
      <c r="V1802" s="35">
        <v>27.3</v>
      </c>
      <c r="W1802" s="35">
        <v>58.7</v>
      </c>
      <c r="X1802" s="35" t="s">
        <v>558</v>
      </c>
      <c r="AB1802" s="35" t="s">
        <v>1766</v>
      </c>
      <c r="AC1802" s="35" t="s">
        <v>166</v>
      </c>
      <c r="AD1802" s="153" t="str">
        <f t="shared" si="289"/>
        <v>Rye</v>
      </c>
      <c r="AE1802" s="35" t="s">
        <v>1767</v>
      </c>
      <c r="AG1802" s="35" t="s">
        <v>1767</v>
      </c>
      <c r="AH1802" s="35" t="s">
        <v>1768</v>
      </c>
      <c r="AI1802" s="35" t="s">
        <v>618</v>
      </c>
      <c r="AQ1802" s="35">
        <v>4</v>
      </c>
      <c r="AR1802" s="35">
        <v>4</v>
      </c>
      <c r="AS1802" s="35" t="s">
        <v>177</v>
      </c>
      <c r="BE1802" s="35">
        <v>1.32</v>
      </c>
      <c r="BF1802" s="35">
        <v>1.24</v>
      </c>
      <c r="BH1802" s="35">
        <v>4.2</v>
      </c>
      <c r="BI1802" s="35">
        <v>4.4000000000000004</v>
      </c>
      <c r="BJ1802" s="35" t="s">
        <v>1226</v>
      </c>
      <c r="BK1802" s="35">
        <f>10^1</f>
        <v>10</v>
      </c>
      <c r="BL1802" s="35">
        <f>10^1</f>
        <v>10</v>
      </c>
      <c r="BM1802" s="35" t="s">
        <v>1229</v>
      </c>
      <c r="BO1802" s="35">
        <v>5.9</v>
      </c>
      <c r="BP1802" s="35">
        <v>5.3</v>
      </c>
      <c r="CF1802" s="35">
        <v>38</v>
      </c>
      <c r="CG1802" s="35">
        <v>41</v>
      </c>
      <c r="CI1802" s="35">
        <v>39</v>
      </c>
      <c r="CJ1802" s="35">
        <v>41</v>
      </c>
      <c r="CK1802" s="35" t="s">
        <v>1238</v>
      </c>
      <c r="CL1802" s="35">
        <v>3.1</v>
      </c>
      <c r="CM1802" s="35">
        <v>3</v>
      </c>
      <c r="DG1802" s="35">
        <v>35.200000000000003</v>
      </c>
      <c r="DH1802" s="35">
        <v>36.4</v>
      </c>
      <c r="DI1802" s="35" t="s">
        <v>1774</v>
      </c>
      <c r="DJ1802" s="35">
        <v>24.3</v>
      </c>
      <c r="DK1802" s="35">
        <v>25.3</v>
      </c>
      <c r="DL1802" s="35" t="s">
        <v>1773</v>
      </c>
      <c r="FA1802" s="35" t="s">
        <v>1771</v>
      </c>
    </row>
    <row r="1803" spans="1:157" s="35" customFormat="1" x14ac:dyDescent="0.25">
      <c r="A1803" s="35">
        <v>86</v>
      </c>
      <c r="B1803" s="35" t="s">
        <v>1272</v>
      </c>
      <c r="C1803" s="35" t="s">
        <v>1273</v>
      </c>
      <c r="D1803" s="35">
        <v>2006</v>
      </c>
      <c r="E1803" s="35">
        <v>2002</v>
      </c>
      <c r="F1803" s="35" t="s">
        <v>395</v>
      </c>
      <c r="G1803" s="35" t="s">
        <v>1765</v>
      </c>
      <c r="H1803" s="35">
        <v>40.07</v>
      </c>
      <c r="I1803" s="35">
        <v>-82.85</v>
      </c>
      <c r="J1803" s="35">
        <v>223</v>
      </c>
      <c r="P1803" s="54" t="s">
        <v>179</v>
      </c>
      <c r="Q1803" s="54"/>
      <c r="R1803" s="54"/>
      <c r="S1803" s="54" t="s">
        <v>1659</v>
      </c>
      <c r="T1803" s="54" t="s">
        <v>1654</v>
      </c>
      <c r="U1803" s="35">
        <f t="shared" si="290"/>
        <v>1.405</v>
      </c>
      <c r="V1803" s="35">
        <v>27.3</v>
      </c>
      <c r="W1803" s="35">
        <v>58.7</v>
      </c>
      <c r="X1803" s="35" t="s">
        <v>558</v>
      </c>
      <c r="AB1803" s="35" t="s">
        <v>1766</v>
      </c>
      <c r="AC1803" s="35" t="s">
        <v>1802</v>
      </c>
      <c r="AD1803" s="153" t="str">
        <f t="shared" si="289"/>
        <v>Rye/Vetch</v>
      </c>
      <c r="AE1803" s="35" t="s">
        <v>1767</v>
      </c>
      <c r="AG1803" s="35" t="s">
        <v>1767</v>
      </c>
      <c r="AH1803" s="35" t="s">
        <v>1769</v>
      </c>
      <c r="AI1803" s="35" t="s">
        <v>618</v>
      </c>
      <c r="AQ1803" s="35">
        <v>4</v>
      </c>
      <c r="AR1803" s="35">
        <v>4</v>
      </c>
      <c r="AS1803" s="35" t="s">
        <v>177</v>
      </c>
      <c r="BE1803" s="35">
        <v>1.32</v>
      </c>
      <c r="BF1803" s="35">
        <v>1.23</v>
      </c>
      <c r="BH1803" s="35">
        <v>4.2</v>
      </c>
      <c r="BI1803" s="35">
        <v>4.5</v>
      </c>
      <c r="BJ1803" s="35" t="s">
        <v>1226</v>
      </c>
      <c r="BK1803" s="35">
        <f t="shared" ref="BK1803:BL1804" si="291">10^1</f>
        <v>10</v>
      </c>
      <c r="BL1803" s="35">
        <f t="shared" si="291"/>
        <v>10</v>
      </c>
      <c r="BM1803" s="35" t="s">
        <v>1229</v>
      </c>
      <c r="CL1803" s="35">
        <v>3.1</v>
      </c>
      <c r="CM1803" s="35">
        <v>3</v>
      </c>
      <c r="FA1803" s="35" t="s">
        <v>1771</v>
      </c>
    </row>
    <row r="1804" spans="1:157" s="35" customFormat="1" x14ac:dyDescent="0.25">
      <c r="A1804" s="35">
        <v>86</v>
      </c>
      <c r="B1804" s="35" t="s">
        <v>1272</v>
      </c>
      <c r="C1804" s="35" t="s">
        <v>1273</v>
      </c>
      <c r="D1804" s="35">
        <v>2006</v>
      </c>
      <c r="E1804" s="35">
        <v>2002</v>
      </c>
      <c r="F1804" s="35" t="s">
        <v>395</v>
      </c>
      <c r="G1804" s="35" t="s">
        <v>1765</v>
      </c>
      <c r="H1804" s="35">
        <v>40.07</v>
      </c>
      <c r="I1804" s="35">
        <v>-82.85</v>
      </c>
      <c r="J1804" s="35">
        <v>223</v>
      </c>
      <c r="P1804" s="54" t="s">
        <v>179</v>
      </c>
      <c r="Q1804" s="54"/>
      <c r="R1804" s="54"/>
      <c r="S1804" s="54" t="s">
        <v>1659</v>
      </c>
      <c r="T1804" s="54" t="s">
        <v>1654</v>
      </c>
      <c r="U1804" s="35">
        <f t="shared" si="290"/>
        <v>1.405</v>
      </c>
      <c r="V1804" s="35">
        <v>27.3</v>
      </c>
      <c r="W1804" s="35">
        <v>58.7</v>
      </c>
      <c r="X1804" s="35" t="s">
        <v>558</v>
      </c>
      <c r="AB1804" s="35" t="s">
        <v>1766</v>
      </c>
      <c r="AC1804" s="35" t="s">
        <v>1863</v>
      </c>
      <c r="AD1804" s="153" t="str">
        <f t="shared" si="289"/>
        <v>Rye/Vetch/Rye</v>
      </c>
      <c r="AE1804" s="35" t="s">
        <v>1767</v>
      </c>
      <c r="AG1804" s="35" t="s">
        <v>1767</v>
      </c>
      <c r="AH1804" s="35" t="s">
        <v>1770</v>
      </c>
      <c r="AI1804" s="35" t="s">
        <v>618</v>
      </c>
      <c r="AQ1804" s="35">
        <v>4</v>
      </c>
      <c r="AR1804" s="35">
        <v>4</v>
      </c>
      <c r="AS1804" s="35" t="s">
        <v>177</v>
      </c>
      <c r="BE1804" s="35">
        <v>1.32</v>
      </c>
      <c r="BF1804" s="35">
        <v>1.23</v>
      </c>
      <c r="BH1804" s="35">
        <v>4.2</v>
      </c>
      <c r="BI1804" s="35">
        <v>4.7</v>
      </c>
      <c r="BJ1804" s="35" t="s">
        <v>1226</v>
      </c>
      <c r="BK1804" s="35">
        <f t="shared" si="291"/>
        <v>10</v>
      </c>
      <c r="BL1804" s="35">
        <f>10^0.9</f>
        <v>7.9432823472428176</v>
      </c>
      <c r="BM1804" s="35" t="s">
        <v>1229</v>
      </c>
      <c r="CL1804" s="35">
        <v>3.1</v>
      </c>
      <c r="CM1804" s="35">
        <v>3.1</v>
      </c>
      <c r="FA1804" s="35" t="s">
        <v>1771</v>
      </c>
    </row>
    <row r="1805" spans="1:157" s="35" customFormat="1" x14ac:dyDescent="0.25">
      <c r="A1805" s="35">
        <v>86</v>
      </c>
      <c r="B1805" s="35" t="s">
        <v>1272</v>
      </c>
      <c r="C1805" s="35" t="s">
        <v>1273</v>
      </c>
      <c r="D1805" s="35">
        <v>2006</v>
      </c>
      <c r="E1805" s="35">
        <v>2002</v>
      </c>
      <c r="F1805" s="35" t="s">
        <v>395</v>
      </c>
      <c r="G1805" s="35" t="s">
        <v>1765</v>
      </c>
      <c r="H1805" s="35">
        <v>40.07</v>
      </c>
      <c r="I1805" s="35">
        <v>-82.85</v>
      </c>
      <c r="J1805" s="35">
        <v>223</v>
      </c>
      <c r="P1805" s="54" t="s">
        <v>179</v>
      </c>
      <c r="Q1805" s="54"/>
      <c r="R1805" s="54"/>
      <c r="S1805" s="54" t="s">
        <v>1666</v>
      </c>
      <c r="T1805" s="54" t="s">
        <v>1654</v>
      </c>
      <c r="U1805" s="35">
        <f t="shared" si="290"/>
        <v>1.405</v>
      </c>
      <c r="V1805" s="35">
        <v>27.3</v>
      </c>
      <c r="W1805" s="35">
        <v>58.7</v>
      </c>
      <c r="X1805" s="35" t="s">
        <v>558</v>
      </c>
      <c r="AB1805" s="35" t="s">
        <v>1766</v>
      </c>
      <c r="AC1805" s="35" t="s">
        <v>166</v>
      </c>
      <c r="AD1805" s="153" t="str">
        <f t="shared" si="289"/>
        <v>Rye</v>
      </c>
      <c r="AE1805" s="35" t="s">
        <v>1767</v>
      </c>
      <c r="AG1805" s="35" t="s">
        <v>1767</v>
      </c>
      <c r="AH1805" s="35" t="s">
        <v>1768</v>
      </c>
      <c r="AI1805" s="35" t="s">
        <v>618</v>
      </c>
      <c r="AQ1805" s="35">
        <v>4</v>
      </c>
      <c r="AR1805" s="35">
        <v>4</v>
      </c>
      <c r="AS1805" s="35" t="s">
        <v>177</v>
      </c>
      <c r="BE1805" s="35">
        <v>1.4</v>
      </c>
      <c r="BF1805" s="35">
        <v>1.38</v>
      </c>
      <c r="BH1805" s="35">
        <v>3.3</v>
      </c>
      <c r="BI1805" s="35">
        <v>3.5</v>
      </c>
      <c r="BJ1805" s="35" t="s">
        <v>1226</v>
      </c>
      <c r="BK1805" s="35">
        <f>10^1.1</f>
        <v>12.58925411794168</v>
      </c>
      <c r="BL1805" s="35">
        <f>10^1</f>
        <v>10</v>
      </c>
      <c r="BM1805" s="35" t="s">
        <v>1229</v>
      </c>
      <c r="BO1805" s="35">
        <v>5.9</v>
      </c>
      <c r="BP1805" s="35">
        <v>5.8</v>
      </c>
      <c r="CF1805" s="35">
        <v>38</v>
      </c>
      <c r="CG1805" s="35">
        <v>43</v>
      </c>
      <c r="CI1805" s="35">
        <v>39</v>
      </c>
      <c r="CJ1805" s="35">
        <v>40.299999999999997</v>
      </c>
      <c r="CK1805" s="35" t="s">
        <v>1238</v>
      </c>
      <c r="CL1805" s="35">
        <v>3.3</v>
      </c>
      <c r="CM1805" s="35">
        <v>3.2</v>
      </c>
      <c r="DG1805" s="35">
        <v>35.200000000000003</v>
      </c>
      <c r="DH1805" s="35">
        <v>36.4</v>
      </c>
      <c r="DI1805" s="35" t="s">
        <v>1774</v>
      </c>
      <c r="DJ1805" s="35">
        <v>24.3</v>
      </c>
      <c r="DK1805" s="35">
        <v>25.6</v>
      </c>
      <c r="DL1805" s="35" t="s">
        <v>1773</v>
      </c>
      <c r="FA1805" s="35" t="s">
        <v>1771</v>
      </c>
    </row>
    <row r="1806" spans="1:157" s="35" customFormat="1" x14ac:dyDescent="0.25">
      <c r="A1806" s="35">
        <v>86</v>
      </c>
      <c r="B1806" s="35" t="s">
        <v>1272</v>
      </c>
      <c r="C1806" s="35" t="s">
        <v>1273</v>
      </c>
      <c r="D1806" s="35">
        <v>2006</v>
      </c>
      <c r="E1806" s="35">
        <v>2002</v>
      </c>
      <c r="F1806" s="35" t="s">
        <v>395</v>
      </c>
      <c r="G1806" s="35" t="s">
        <v>1765</v>
      </c>
      <c r="H1806" s="35">
        <v>40.07</v>
      </c>
      <c r="I1806" s="35">
        <v>-82.85</v>
      </c>
      <c r="J1806" s="35">
        <v>223</v>
      </c>
      <c r="P1806" s="54" t="s">
        <v>179</v>
      </c>
      <c r="Q1806" s="54"/>
      <c r="R1806" s="54"/>
      <c r="S1806" s="54" t="s">
        <v>1666</v>
      </c>
      <c r="T1806" s="54" t="s">
        <v>1654</v>
      </c>
      <c r="U1806" s="35">
        <f t="shared" si="290"/>
        <v>1.405</v>
      </c>
      <c r="V1806" s="35">
        <v>27.3</v>
      </c>
      <c r="W1806" s="35">
        <v>58.7</v>
      </c>
      <c r="X1806" s="35" t="s">
        <v>558</v>
      </c>
      <c r="AB1806" s="35" t="s">
        <v>1766</v>
      </c>
      <c r="AC1806" s="35" t="s">
        <v>1802</v>
      </c>
      <c r="AD1806" s="153" t="str">
        <f t="shared" si="289"/>
        <v>Rye/Vetch</v>
      </c>
      <c r="AE1806" s="35" t="s">
        <v>1767</v>
      </c>
      <c r="AG1806" s="35" t="s">
        <v>1767</v>
      </c>
      <c r="AH1806" s="35" t="s">
        <v>1769</v>
      </c>
      <c r="AI1806" s="35" t="s">
        <v>618</v>
      </c>
      <c r="AQ1806" s="35">
        <v>4</v>
      </c>
      <c r="AR1806" s="35">
        <v>4</v>
      </c>
      <c r="AS1806" s="35" t="s">
        <v>177</v>
      </c>
      <c r="BE1806" s="35">
        <v>1.4</v>
      </c>
      <c r="BF1806" s="35">
        <v>1.35</v>
      </c>
      <c r="BH1806" s="35">
        <v>3.3</v>
      </c>
      <c r="BI1806" s="35">
        <v>3.6</v>
      </c>
      <c r="BJ1806" s="35" t="s">
        <v>1226</v>
      </c>
      <c r="BK1806" s="35">
        <f t="shared" ref="BK1806:BK1810" si="292">10^1.1</f>
        <v>12.58925411794168</v>
      </c>
      <c r="BL1806" s="35">
        <f>10^0.6</f>
        <v>3.9810717055349727</v>
      </c>
      <c r="BM1806" s="35" t="s">
        <v>1229</v>
      </c>
      <c r="CL1806" s="35">
        <v>3.3</v>
      </c>
      <c r="CM1806" s="35">
        <v>3.2</v>
      </c>
      <c r="FA1806" s="35" t="s">
        <v>1771</v>
      </c>
    </row>
    <row r="1807" spans="1:157" s="35" customFormat="1" x14ac:dyDescent="0.25">
      <c r="A1807" s="35">
        <v>86</v>
      </c>
      <c r="B1807" s="35" t="s">
        <v>1272</v>
      </c>
      <c r="C1807" s="35" t="s">
        <v>1273</v>
      </c>
      <c r="D1807" s="35">
        <v>2006</v>
      </c>
      <c r="E1807" s="35">
        <v>2002</v>
      </c>
      <c r="F1807" s="35" t="s">
        <v>395</v>
      </c>
      <c r="G1807" s="35" t="s">
        <v>1765</v>
      </c>
      <c r="H1807" s="35">
        <v>40.07</v>
      </c>
      <c r="I1807" s="35">
        <v>-82.85</v>
      </c>
      <c r="J1807" s="35">
        <v>223</v>
      </c>
      <c r="P1807" s="54" t="s">
        <v>179</v>
      </c>
      <c r="Q1807" s="54"/>
      <c r="R1807" s="54"/>
      <c r="S1807" s="54" t="s">
        <v>1666</v>
      </c>
      <c r="T1807" s="54" t="s">
        <v>1654</v>
      </c>
      <c r="U1807" s="35">
        <f t="shared" si="290"/>
        <v>1.405</v>
      </c>
      <c r="V1807" s="35">
        <v>27.3</v>
      </c>
      <c r="W1807" s="35">
        <v>58.7</v>
      </c>
      <c r="X1807" s="35" t="s">
        <v>558</v>
      </c>
      <c r="AB1807" s="35" t="s">
        <v>1766</v>
      </c>
      <c r="AC1807" s="35" t="s">
        <v>1863</v>
      </c>
      <c r="AD1807" s="153" t="str">
        <f t="shared" si="289"/>
        <v>Rye/Vetch/Rye</v>
      </c>
      <c r="AE1807" s="35" t="s">
        <v>1767</v>
      </c>
      <c r="AG1807" s="35" t="s">
        <v>1767</v>
      </c>
      <c r="AH1807" s="35" t="s">
        <v>1770</v>
      </c>
      <c r="AI1807" s="35" t="s">
        <v>618</v>
      </c>
      <c r="AQ1807" s="35">
        <v>4</v>
      </c>
      <c r="AR1807" s="35">
        <v>4</v>
      </c>
      <c r="AS1807" s="35" t="s">
        <v>177</v>
      </c>
      <c r="BE1807" s="35">
        <v>1.4</v>
      </c>
      <c r="BF1807" s="35">
        <v>1.36</v>
      </c>
      <c r="BH1807" s="35">
        <v>3.3</v>
      </c>
      <c r="BI1807" s="35">
        <v>3.8</v>
      </c>
      <c r="BJ1807" s="35" t="s">
        <v>1226</v>
      </c>
      <c r="BK1807" s="35">
        <f t="shared" si="292"/>
        <v>12.58925411794168</v>
      </c>
      <c r="BL1807" s="35">
        <f>10^0.9</f>
        <v>7.9432823472428176</v>
      </c>
      <c r="BM1807" s="35" t="s">
        <v>1229</v>
      </c>
      <c r="CL1807" s="35">
        <v>3.3</v>
      </c>
      <c r="CM1807" s="35">
        <v>3.2</v>
      </c>
      <c r="FA1807" s="35" t="s">
        <v>1771</v>
      </c>
    </row>
    <row r="1808" spans="1:157" s="35" customFormat="1" x14ac:dyDescent="0.25">
      <c r="A1808" s="35">
        <v>86</v>
      </c>
      <c r="B1808" s="35" t="s">
        <v>1272</v>
      </c>
      <c r="C1808" s="35" t="s">
        <v>1273</v>
      </c>
      <c r="D1808" s="35">
        <v>2006</v>
      </c>
      <c r="E1808" s="35">
        <v>2002</v>
      </c>
      <c r="F1808" s="35" t="s">
        <v>395</v>
      </c>
      <c r="G1808" s="35" t="s">
        <v>1765</v>
      </c>
      <c r="H1808" s="35">
        <v>40.07</v>
      </c>
      <c r="I1808" s="35">
        <v>-82.85</v>
      </c>
      <c r="J1808" s="35">
        <v>223</v>
      </c>
      <c r="P1808" s="54" t="s">
        <v>179</v>
      </c>
      <c r="Q1808" s="54"/>
      <c r="R1808" s="54"/>
      <c r="S1808" s="54" t="s">
        <v>1674</v>
      </c>
      <c r="T1808" s="54" t="s">
        <v>1654</v>
      </c>
      <c r="U1808" s="35">
        <f t="shared" si="290"/>
        <v>1.405</v>
      </c>
      <c r="V1808" s="35">
        <v>27.3</v>
      </c>
      <c r="W1808" s="35">
        <v>58.7</v>
      </c>
      <c r="X1808" s="35" t="s">
        <v>558</v>
      </c>
      <c r="AB1808" s="35" t="s">
        <v>1766</v>
      </c>
      <c r="AC1808" s="35" t="s">
        <v>166</v>
      </c>
      <c r="AD1808" s="153" t="str">
        <f t="shared" si="289"/>
        <v>Rye</v>
      </c>
      <c r="AE1808" s="35" t="s">
        <v>1767</v>
      </c>
      <c r="AG1808" s="35" t="s">
        <v>1767</v>
      </c>
      <c r="AH1808" s="35" t="s">
        <v>1768</v>
      </c>
      <c r="AI1808" s="35" t="s">
        <v>618</v>
      </c>
      <c r="AQ1808" s="35">
        <v>4</v>
      </c>
      <c r="AR1808" s="35">
        <v>4</v>
      </c>
      <c r="AS1808" s="35" t="s">
        <v>177</v>
      </c>
      <c r="BE1808" s="35">
        <v>1.45</v>
      </c>
      <c r="BF1808" s="35">
        <v>1.46</v>
      </c>
      <c r="BH1808" s="35">
        <v>3.1</v>
      </c>
      <c r="BI1808" s="35">
        <v>3.3</v>
      </c>
      <c r="BJ1808" s="35" t="s">
        <v>1226</v>
      </c>
      <c r="BK1808" s="35">
        <f t="shared" si="292"/>
        <v>12.58925411794168</v>
      </c>
      <c r="BL1808" s="35">
        <f>10^0.8</f>
        <v>6.3095734448019343</v>
      </c>
      <c r="BM1808" s="35" t="s">
        <v>1229</v>
      </c>
      <c r="BO1808" s="35">
        <v>5.9</v>
      </c>
      <c r="BP1808" s="35">
        <v>5.5</v>
      </c>
      <c r="CF1808" s="35">
        <v>38</v>
      </c>
      <c r="CG1808" s="35">
        <v>44</v>
      </c>
      <c r="CI1808" s="35">
        <v>39</v>
      </c>
      <c r="CJ1808" s="35">
        <v>41.3</v>
      </c>
      <c r="CK1808" s="35" t="s">
        <v>1238</v>
      </c>
      <c r="CL1808" s="35">
        <v>3.2</v>
      </c>
      <c r="CM1808" s="35">
        <v>3.2</v>
      </c>
      <c r="DG1808" s="35">
        <v>35.200000000000003</v>
      </c>
      <c r="DH1808" s="35">
        <v>37.299999999999997</v>
      </c>
      <c r="DI1808" s="35" t="s">
        <v>1774</v>
      </c>
      <c r="DJ1808" s="35">
        <v>24.3</v>
      </c>
      <c r="DK1808" s="35">
        <v>26.4</v>
      </c>
      <c r="DL1808" s="35" t="s">
        <v>1773</v>
      </c>
      <c r="FA1808" s="35" t="s">
        <v>1771</v>
      </c>
    </row>
    <row r="1809" spans="1:157" s="35" customFormat="1" x14ac:dyDescent="0.25">
      <c r="A1809" s="35">
        <v>86</v>
      </c>
      <c r="B1809" s="35" t="s">
        <v>1272</v>
      </c>
      <c r="C1809" s="35" t="s">
        <v>1273</v>
      </c>
      <c r="D1809" s="35">
        <v>2006</v>
      </c>
      <c r="E1809" s="35">
        <v>2002</v>
      </c>
      <c r="F1809" s="35" t="s">
        <v>395</v>
      </c>
      <c r="G1809" s="35" t="s">
        <v>1765</v>
      </c>
      <c r="H1809" s="35">
        <v>40.07</v>
      </c>
      <c r="I1809" s="35">
        <v>-82.85</v>
      </c>
      <c r="J1809" s="35">
        <v>223</v>
      </c>
      <c r="P1809" s="54" t="s">
        <v>179</v>
      </c>
      <c r="Q1809" s="54"/>
      <c r="R1809" s="54"/>
      <c r="S1809" s="54" t="s">
        <v>1674</v>
      </c>
      <c r="T1809" s="54" t="s">
        <v>1654</v>
      </c>
      <c r="U1809" s="35">
        <f t="shared" si="290"/>
        <v>1.405</v>
      </c>
      <c r="V1809" s="35">
        <v>27.3</v>
      </c>
      <c r="W1809" s="35">
        <v>58.7</v>
      </c>
      <c r="X1809" s="35" t="s">
        <v>558</v>
      </c>
      <c r="AB1809" s="35" t="s">
        <v>1766</v>
      </c>
      <c r="AC1809" s="35" t="s">
        <v>1802</v>
      </c>
      <c r="AD1809" s="153" t="str">
        <f t="shared" si="289"/>
        <v>Rye/Vetch</v>
      </c>
      <c r="AE1809" s="35" t="s">
        <v>1767</v>
      </c>
      <c r="AG1809" s="35" t="s">
        <v>1767</v>
      </c>
      <c r="AH1809" s="35" t="s">
        <v>1769</v>
      </c>
      <c r="AI1809" s="35" t="s">
        <v>618</v>
      </c>
      <c r="AQ1809" s="35">
        <v>4</v>
      </c>
      <c r="AR1809" s="35">
        <v>4</v>
      </c>
      <c r="AS1809" s="35" t="s">
        <v>177</v>
      </c>
      <c r="BE1809" s="35">
        <v>1.45</v>
      </c>
      <c r="BF1809" s="35">
        <v>1.5</v>
      </c>
      <c r="BH1809" s="35">
        <v>3.1</v>
      </c>
      <c r="BI1809" s="35">
        <v>3.4</v>
      </c>
      <c r="BJ1809" s="35" t="s">
        <v>1226</v>
      </c>
      <c r="BK1809" s="35">
        <f t="shared" si="292"/>
        <v>12.58925411794168</v>
      </c>
      <c r="BL1809" s="35">
        <f>10^0.3</f>
        <v>1.9952623149688797</v>
      </c>
      <c r="BM1809" s="35" t="s">
        <v>1229</v>
      </c>
      <c r="CL1809" s="35">
        <v>3.2</v>
      </c>
      <c r="CM1809" s="35">
        <v>3.3</v>
      </c>
      <c r="FA1809" s="35" t="s">
        <v>1771</v>
      </c>
    </row>
    <row r="1810" spans="1:157" s="35" customFormat="1" x14ac:dyDescent="0.25">
      <c r="A1810" s="35">
        <v>86</v>
      </c>
      <c r="B1810" s="35" t="s">
        <v>1272</v>
      </c>
      <c r="C1810" s="35" t="s">
        <v>1273</v>
      </c>
      <c r="D1810" s="35">
        <v>2006</v>
      </c>
      <c r="E1810" s="35">
        <v>2002</v>
      </c>
      <c r="F1810" s="35" t="s">
        <v>395</v>
      </c>
      <c r="G1810" s="35" t="s">
        <v>1765</v>
      </c>
      <c r="H1810" s="35">
        <v>40.07</v>
      </c>
      <c r="I1810" s="35">
        <v>-82.85</v>
      </c>
      <c r="J1810" s="35">
        <v>223</v>
      </c>
      <c r="P1810" s="54" t="s">
        <v>179</v>
      </c>
      <c r="Q1810" s="54"/>
      <c r="R1810" s="54"/>
      <c r="S1810" s="54" t="s">
        <v>1674</v>
      </c>
      <c r="T1810" s="54" t="s">
        <v>1654</v>
      </c>
      <c r="U1810" s="35">
        <f t="shared" si="290"/>
        <v>1.405</v>
      </c>
      <c r="V1810" s="35">
        <v>27.3</v>
      </c>
      <c r="W1810" s="35">
        <v>58.7</v>
      </c>
      <c r="X1810" s="35" t="s">
        <v>558</v>
      </c>
      <c r="AB1810" s="35" t="s">
        <v>1766</v>
      </c>
      <c r="AC1810" s="35" t="s">
        <v>1863</v>
      </c>
      <c r="AD1810" s="153" t="str">
        <f t="shared" si="289"/>
        <v>Rye/Vetch/Rye</v>
      </c>
      <c r="AE1810" s="35" t="s">
        <v>1767</v>
      </c>
      <c r="AG1810" s="35" t="s">
        <v>1767</v>
      </c>
      <c r="AH1810" s="35" t="s">
        <v>1770</v>
      </c>
      <c r="AI1810" s="35" t="s">
        <v>618</v>
      </c>
      <c r="AQ1810" s="35">
        <v>4</v>
      </c>
      <c r="AR1810" s="35">
        <v>4</v>
      </c>
      <c r="AS1810" s="35" t="s">
        <v>177</v>
      </c>
      <c r="BE1810" s="35">
        <v>1.45</v>
      </c>
      <c r="BF1810" s="35">
        <v>1.43</v>
      </c>
      <c r="BH1810" s="35">
        <v>3.1</v>
      </c>
      <c r="BI1810" s="35">
        <v>3.6</v>
      </c>
      <c r="BJ1810" s="35" t="s">
        <v>1226</v>
      </c>
      <c r="BK1810" s="35">
        <f t="shared" si="292"/>
        <v>12.58925411794168</v>
      </c>
      <c r="BL1810" s="35">
        <f>10^0.8</f>
        <v>6.3095734448019343</v>
      </c>
      <c r="BM1810" s="35" t="s">
        <v>1229</v>
      </c>
      <c r="CL1810" s="35">
        <v>3.2</v>
      </c>
      <c r="CM1810" s="35">
        <v>3.3</v>
      </c>
      <c r="FA1810" s="35" t="s">
        <v>1771</v>
      </c>
    </row>
    <row r="1811" spans="1:157" s="35" customFormat="1" x14ac:dyDescent="0.25">
      <c r="A1811" s="35">
        <v>86</v>
      </c>
      <c r="B1811" s="35" t="s">
        <v>1272</v>
      </c>
      <c r="C1811" s="35" t="s">
        <v>1273</v>
      </c>
      <c r="D1811" s="35">
        <v>2006</v>
      </c>
      <c r="E1811" s="35">
        <v>2002</v>
      </c>
      <c r="F1811" s="35" t="s">
        <v>395</v>
      </c>
      <c r="G1811" s="35" t="s">
        <v>1765</v>
      </c>
      <c r="H1811" s="35">
        <v>40.07</v>
      </c>
      <c r="I1811" s="35">
        <v>-82.85</v>
      </c>
      <c r="J1811" s="35">
        <v>223</v>
      </c>
      <c r="P1811" s="54" t="s">
        <v>179</v>
      </c>
      <c r="Q1811" s="54"/>
      <c r="R1811" s="54"/>
      <c r="S1811" s="54" t="s">
        <v>1655</v>
      </c>
      <c r="T1811" s="54" t="s">
        <v>1654</v>
      </c>
      <c r="U1811" s="35">
        <f t="shared" si="290"/>
        <v>1.405</v>
      </c>
      <c r="V1811" s="35">
        <v>27.3</v>
      </c>
      <c r="W1811" s="35">
        <v>58.7</v>
      </c>
      <c r="X1811" s="35" t="s">
        <v>558</v>
      </c>
      <c r="AB1811" s="35" t="s">
        <v>1766</v>
      </c>
      <c r="AC1811" s="35" t="s">
        <v>166</v>
      </c>
      <c r="AD1811" s="153" t="str">
        <f t="shared" si="289"/>
        <v>Rye</v>
      </c>
      <c r="AE1811" s="35" t="s">
        <v>1767</v>
      </c>
      <c r="AG1811" s="35" t="s">
        <v>1767</v>
      </c>
      <c r="AH1811" s="35" t="s">
        <v>1768</v>
      </c>
      <c r="AI1811" s="35" t="s">
        <v>618</v>
      </c>
      <c r="AQ1811" s="35">
        <v>4</v>
      </c>
      <c r="AR1811" s="35">
        <v>4</v>
      </c>
      <c r="AS1811" s="35" t="s">
        <v>177</v>
      </c>
      <c r="BE1811" s="35">
        <v>1.45</v>
      </c>
      <c r="BF1811" s="35">
        <v>1.44</v>
      </c>
      <c r="BH1811" s="35">
        <v>3.5</v>
      </c>
      <c r="BI1811" s="35">
        <v>3.6</v>
      </c>
      <c r="BJ1811" s="35" t="s">
        <v>1226</v>
      </c>
      <c r="BK1811" s="35">
        <f>10^1</f>
        <v>10</v>
      </c>
      <c r="BL1811" s="35">
        <f>10^0.9</f>
        <v>7.9432823472428176</v>
      </c>
      <c r="BM1811" s="35" t="s">
        <v>1229</v>
      </c>
      <c r="CL1811" s="35">
        <v>3.2</v>
      </c>
      <c r="CM1811" s="35">
        <v>3.2</v>
      </c>
      <c r="FA1811" s="35" t="s">
        <v>1771</v>
      </c>
    </row>
    <row r="1812" spans="1:157" s="35" customFormat="1" x14ac:dyDescent="0.25">
      <c r="A1812" s="35">
        <v>86</v>
      </c>
      <c r="B1812" s="35" t="s">
        <v>1272</v>
      </c>
      <c r="C1812" s="35" t="s">
        <v>1273</v>
      </c>
      <c r="D1812" s="35">
        <v>2006</v>
      </c>
      <c r="E1812" s="35">
        <v>2002</v>
      </c>
      <c r="F1812" s="35" t="s">
        <v>395</v>
      </c>
      <c r="G1812" s="35" t="s">
        <v>1765</v>
      </c>
      <c r="H1812" s="35">
        <v>40.07</v>
      </c>
      <c r="I1812" s="35">
        <v>-82.85</v>
      </c>
      <c r="J1812" s="35">
        <v>223</v>
      </c>
      <c r="P1812" s="54" t="s">
        <v>179</v>
      </c>
      <c r="Q1812" s="54"/>
      <c r="R1812" s="54"/>
      <c r="S1812" s="54" t="s">
        <v>1655</v>
      </c>
      <c r="T1812" s="54" t="s">
        <v>1654</v>
      </c>
      <c r="U1812" s="35">
        <f t="shared" si="290"/>
        <v>1.405</v>
      </c>
      <c r="V1812" s="35">
        <v>27.3</v>
      </c>
      <c r="W1812" s="35">
        <v>58.7</v>
      </c>
      <c r="X1812" s="35" t="s">
        <v>558</v>
      </c>
      <c r="AB1812" s="35" t="s">
        <v>1766</v>
      </c>
      <c r="AC1812" s="35" t="s">
        <v>1802</v>
      </c>
      <c r="AD1812" s="153" t="str">
        <f t="shared" si="289"/>
        <v>Rye/Vetch</v>
      </c>
      <c r="AE1812" s="35" t="s">
        <v>1767</v>
      </c>
      <c r="AG1812" s="35" t="s">
        <v>1767</v>
      </c>
      <c r="AH1812" s="35" t="s">
        <v>1769</v>
      </c>
      <c r="AI1812" s="35" t="s">
        <v>618</v>
      </c>
      <c r="AQ1812" s="35">
        <v>4</v>
      </c>
      <c r="AR1812" s="35">
        <v>4</v>
      </c>
      <c r="AS1812" s="35" t="s">
        <v>177</v>
      </c>
      <c r="BE1812" s="35">
        <v>1.45</v>
      </c>
      <c r="BF1812" s="35">
        <v>1.42</v>
      </c>
      <c r="BH1812" s="35">
        <v>3.5</v>
      </c>
      <c r="BI1812" s="35">
        <v>3.7</v>
      </c>
      <c r="BJ1812" s="35" t="s">
        <v>1226</v>
      </c>
      <c r="BK1812" s="35">
        <f t="shared" ref="BK1812:BK1813" si="293">10^1</f>
        <v>10</v>
      </c>
      <c r="BL1812" s="35">
        <f>10^0.7</f>
        <v>5.0118723362727229</v>
      </c>
      <c r="BM1812" s="35" t="s">
        <v>1229</v>
      </c>
      <c r="CL1812" s="35">
        <v>3.2</v>
      </c>
      <c r="CM1812" s="35">
        <v>3.2</v>
      </c>
      <c r="FA1812" s="35" t="s">
        <v>1771</v>
      </c>
    </row>
    <row r="1813" spans="1:157" s="35" customFormat="1" x14ac:dyDescent="0.25">
      <c r="A1813" s="35">
        <v>86</v>
      </c>
      <c r="B1813" s="35" t="s">
        <v>1272</v>
      </c>
      <c r="C1813" s="35" t="s">
        <v>1273</v>
      </c>
      <c r="D1813" s="35">
        <v>2006</v>
      </c>
      <c r="E1813" s="35">
        <v>2002</v>
      </c>
      <c r="F1813" s="35" t="s">
        <v>395</v>
      </c>
      <c r="G1813" s="35" t="s">
        <v>1765</v>
      </c>
      <c r="H1813" s="35">
        <v>40.07</v>
      </c>
      <c r="I1813" s="35">
        <v>-82.85</v>
      </c>
      <c r="J1813" s="35">
        <v>223</v>
      </c>
      <c r="P1813" s="54" t="s">
        <v>179</v>
      </c>
      <c r="Q1813" s="54"/>
      <c r="R1813" s="54"/>
      <c r="S1813" s="54" t="s">
        <v>1655</v>
      </c>
      <c r="T1813" s="54" t="s">
        <v>1654</v>
      </c>
      <c r="U1813" s="35">
        <f t="shared" si="290"/>
        <v>1.405</v>
      </c>
      <c r="V1813" s="35">
        <v>27.3</v>
      </c>
      <c r="W1813" s="35">
        <v>58.7</v>
      </c>
      <c r="X1813" s="35" t="s">
        <v>558</v>
      </c>
      <c r="AB1813" s="35" t="s">
        <v>1766</v>
      </c>
      <c r="AC1813" s="35" t="s">
        <v>1863</v>
      </c>
      <c r="AD1813" s="153" t="str">
        <f t="shared" si="289"/>
        <v>Rye/Vetch/Rye</v>
      </c>
      <c r="AE1813" s="35" t="s">
        <v>1767</v>
      </c>
      <c r="AG1813" s="35" t="s">
        <v>1767</v>
      </c>
      <c r="AH1813" s="35" t="s">
        <v>1770</v>
      </c>
      <c r="AI1813" s="35" t="s">
        <v>618</v>
      </c>
      <c r="AQ1813" s="35">
        <v>4</v>
      </c>
      <c r="AR1813" s="35">
        <v>4</v>
      </c>
      <c r="AS1813" s="35" t="s">
        <v>177</v>
      </c>
      <c r="BE1813" s="35">
        <v>1.45</v>
      </c>
      <c r="BF1813" s="35">
        <v>1.39</v>
      </c>
      <c r="BH1813" s="35">
        <v>3.5</v>
      </c>
      <c r="BI1813" s="35">
        <v>3.7</v>
      </c>
      <c r="BJ1813" s="35" t="s">
        <v>1226</v>
      </c>
      <c r="BK1813" s="35">
        <f t="shared" si="293"/>
        <v>10</v>
      </c>
      <c r="BL1813" s="35">
        <f>10^0.8</f>
        <v>6.3095734448019343</v>
      </c>
      <c r="BM1813" s="35" t="s">
        <v>1229</v>
      </c>
      <c r="CL1813" s="35">
        <v>3.2</v>
      </c>
      <c r="CM1813" s="35">
        <v>3.3</v>
      </c>
      <c r="FA1813" s="35" t="s">
        <v>1771</v>
      </c>
    </row>
    <row r="1814" spans="1:157" s="26" customFormat="1" x14ac:dyDescent="0.25">
      <c r="A1814" s="26">
        <v>86</v>
      </c>
      <c r="B1814" s="26" t="s">
        <v>1272</v>
      </c>
      <c r="C1814" s="26" t="s">
        <v>1273</v>
      </c>
      <c r="D1814" s="26">
        <v>2006</v>
      </c>
      <c r="E1814" s="26">
        <v>2003</v>
      </c>
      <c r="F1814" s="26" t="s">
        <v>395</v>
      </c>
      <c r="G1814" s="26" t="s">
        <v>1765</v>
      </c>
      <c r="H1814" s="26">
        <v>40.07</v>
      </c>
      <c r="I1814" s="26">
        <v>-82.85</v>
      </c>
      <c r="J1814" s="26">
        <v>223</v>
      </c>
      <c r="P1814" s="52" t="s">
        <v>180</v>
      </c>
      <c r="Q1814" s="52"/>
      <c r="R1814" s="52"/>
      <c r="S1814" s="52" t="s">
        <v>1659</v>
      </c>
      <c r="T1814" s="52" t="s">
        <v>1654</v>
      </c>
      <c r="U1814" s="26">
        <f t="shared" si="290"/>
        <v>1.405</v>
      </c>
      <c r="V1814" s="26">
        <v>27.3</v>
      </c>
      <c r="W1814" s="26">
        <v>58.7</v>
      </c>
      <c r="X1814" s="26" t="s">
        <v>558</v>
      </c>
      <c r="AB1814" s="26" t="s">
        <v>1766</v>
      </c>
      <c r="AC1814" s="26" t="s">
        <v>166</v>
      </c>
      <c r="AD1814" s="153" t="str">
        <f t="shared" si="289"/>
        <v>Rye</v>
      </c>
      <c r="AE1814" s="26" t="s">
        <v>1767</v>
      </c>
      <c r="AG1814" s="26" t="s">
        <v>1767</v>
      </c>
      <c r="AH1814" s="26" t="s">
        <v>1768</v>
      </c>
      <c r="AI1814" s="26" t="s">
        <v>618</v>
      </c>
      <c r="AQ1814" s="26">
        <v>4</v>
      </c>
      <c r="AR1814" s="26">
        <v>4</v>
      </c>
      <c r="AS1814" s="26" t="s">
        <v>177</v>
      </c>
      <c r="BH1814" s="26">
        <v>4</v>
      </c>
      <c r="BI1814" s="26">
        <v>4.4000000000000004</v>
      </c>
      <c r="BJ1814" s="26" t="s">
        <v>1226</v>
      </c>
      <c r="BK1814" s="26">
        <f>10^0.9</f>
        <v>7.9432823472428176</v>
      </c>
      <c r="BL1814" s="26">
        <f>10^0.6</f>
        <v>3.9810717055349727</v>
      </c>
      <c r="BM1814" s="26" t="s">
        <v>1229</v>
      </c>
      <c r="CL1814" s="26">
        <v>3.1</v>
      </c>
      <c r="CM1814" s="26">
        <v>3</v>
      </c>
      <c r="FA1814" s="26" t="s">
        <v>1771</v>
      </c>
    </row>
    <row r="1815" spans="1:157" s="26" customFormat="1" x14ac:dyDescent="0.25">
      <c r="A1815" s="26">
        <v>86</v>
      </c>
      <c r="B1815" s="26" t="s">
        <v>1272</v>
      </c>
      <c r="C1815" s="26" t="s">
        <v>1273</v>
      </c>
      <c r="D1815" s="26">
        <v>2006</v>
      </c>
      <c r="E1815" s="26">
        <v>2003</v>
      </c>
      <c r="F1815" s="26" t="s">
        <v>395</v>
      </c>
      <c r="G1815" s="26" t="s">
        <v>1765</v>
      </c>
      <c r="H1815" s="26">
        <v>40.07</v>
      </c>
      <c r="I1815" s="26">
        <v>-82.85</v>
      </c>
      <c r="J1815" s="26">
        <v>223</v>
      </c>
      <c r="P1815" s="52" t="s">
        <v>180</v>
      </c>
      <c r="Q1815" s="52"/>
      <c r="R1815" s="52"/>
      <c r="S1815" s="52" t="s">
        <v>1659</v>
      </c>
      <c r="T1815" s="52" t="s">
        <v>1654</v>
      </c>
      <c r="U1815" s="26">
        <f t="shared" si="290"/>
        <v>1.405</v>
      </c>
      <c r="V1815" s="26">
        <v>27.3</v>
      </c>
      <c r="W1815" s="26">
        <v>58.7</v>
      </c>
      <c r="X1815" s="26" t="s">
        <v>558</v>
      </c>
      <c r="AB1815" s="26" t="s">
        <v>1766</v>
      </c>
      <c r="AC1815" s="26" t="s">
        <v>1802</v>
      </c>
      <c r="AD1815" s="153" t="str">
        <f t="shared" si="289"/>
        <v>Rye/Vetch</v>
      </c>
      <c r="AE1815" s="26" t="s">
        <v>1767</v>
      </c>
      <c r="AG1815" s="26" t="s">
        <v>1767</v>
      </c>
      <c r="AH1815" s="26" t="s">
        <v>1769</v>
      </c>
      <c r="AI1815" s="26" t="s">
        <v>618</v>
      </c>
      <c r="AQ1815" s="26">
        <v>4</v>
      </c>
      <c r="AR1815" s="26">
        <v>4</v>
      </c>
      <c r="AS1815" s="26" t="s">
        <v>177</v>
      </c>
      <c r="BH1815" s="26">
        <v>4</v>
      </c>
      <c r="BI1815" s="26">
        <v>4.5999999999999996</v>
      </c>
      <c r="BJ1815" s="26" t="s">
        <v>1226</v>
      </c>
      <c r="BK1815" s="26">
        <f t="shared" ref="BK1815:BK1816" si="294">10^0.9</f>
        <v>7.9432823472428176</v>
      </c>
      <c r="BL1815" s="26">
        <f>10^0.7</f>
        <v>5.0118723362727229</v>
      </c>
      <c r="BM1815" s="26" t="s">
        <v>1229</v>
      </c>
      <c r="CL1815" s="26">
        <v>3.1</v>
      </c>
      <c r="CM1815" s="26">
        <v>3.2</v>
      </c>
      <c r="FA1815" s="26" t="s">
        <v>1771</v>
      </c>
    </row>
    <row r="1816" spans="1:157" s="26" customFormat="1" x14ac:dyDescent="0.25">
      <c r="A1816" s="26">
        <v>86</v>
      </c>
      <c r="B1816" s="26" t="s">
        <v>1272</v>
      </c>
      <c r="C1816" s="26" t="s">
        <v>1273</v>
      </c>
      <c r="D1816" s="26">
        <v>2006</v>
      </c>
      <c r="E1816" s="26">
        <v>2003</v>
      </c>
      <c r="F1816" s="26" t="s">
        <v>395</v>
      </c>
      <c r="G1816" s="26" t="s">
        <v>1765</v>
      </c>
      <c r="H1816" s="26">
        <v>40.07</v>
      </c>
      <c r="I1816" s="26">
        <v>-82.85</v>
      </c>
      <c r="J1816" s="26">
        <v>223</v>
      </c>
      <c r="P1816" s="52" t="s">
        <v>180</v>
      </c>
      <c r="Q1816" s="52"/>
      <c r="R1816" s="52"/>
      <c r="S1816" s="52" t="s">
        <v>1659</v>
      </c>
      <c r="T1816" s="52" t="s">
        <v>1654</v>
      </c>
      <c r="U1816" s="26">
        <f t="shared" si="290"/>
        <v>1.405</v>
      </c>
      <c r="V1816" s="26">
        <v>27.3</v>
      </c>
      <c r="W1816" s="26">
        <v>58.7</v>
      </c>
      <c r="X1816" s="26" t="s">
        <v>558</v>
      </c>
      <c r="AB1816" s="26" t="s">
        <v>1766</v>
      </c>
      <c r="AC1816" s="26" t="s">
        <v>1863</v>
      </c>
      <c r="AD1816" s="153" t="str">
        <f t="shared" si="289"/>
        <v>Rye/Vetch/Rye</v>
      </c>
      <c r="AE1816" s="26" t="s">
        <v>1767</v>
      </c>
      <c r="AG1816" s="26" t="s">
        <v>1767</v>
      </c>
      <c r="AH1816" s="26" t="s">
        <v>1770</v>
      </c>
      <c r="AI1816" s="26" t="s">
        <v>618</v>
      </c>
      <c r="AQ1816" s="26">
        <v>4</v>
      </c>
      <c r="AR1816" s="26">
        <v>4</v>
      </c>
      <c r="AS1816" s="26" t="s">
        <v>177</v>
      </c>
      <c r="BH1816" s="26">
        <v>4</v>
      </c>
      <c r="BI1816" s="26">
        <v>4.7</v>
      </c>
      <c r="BJ1816" s="26" t="s">
        <v>1226</v>
      </c>
      <c r="BK1816" s="26">
        <f t="shared" si="294"/>
        <v>7.9432823472428176</v>
      </c>
      <c r="BL1816" s="26">
        <f>10^0.6</f>
        <v>3.9810717055349727</v>
      </c>
      <c r="BM1816" s="26" t="s">
        <v>1229</v>
      </c>
      <c r="CL1816" s="26">
        <v>3.1</v>
      </c>
      <c r="CM1816" s="26">
        <v>3</v>
      </c>
      <c r="FA1816" s="26" t="s">
        <v>1771</v>
      </c>
    </row>
    <row r="1817" spans="1:157" s="26" customFormat="1" x14ac:dyDescent="0.25">
      <c r="A1817" s="26">
        <v>86</v>
      </c>
      <c r="B1817" s="26" t="s">
        <v>1272</v>
      </c>
      <c r="C1817" s="26" t="s">
        <v>1273</v>
      </c>
      <c r="D1817" s="26">
        <v>2006</v>
      </c>
      <c r="E1817" s="26">
        <v>2003</v>
      </c>
      <c r="F1817" s="26" t="s">
        <v>395</v>
      </c>
      <c r="G1817" s="26" t="s">
        <v>1765</v>
      </c>
      <c r="H1817" s="26">
        <v>40.07</v>
      </c>
      <c r="I1817" s="26">
        <v>-82.85</v>
      </c>
      <c r="J1817" s="26">
        <v>223</v>
      </c>
      <c r="P1817" s="52" t="s">
        <v>180</v>
      </c>
      <c r="Q1817" s="52"/>
      <c r="R1817" s="52"/>
      <c r="S1817" s="52" t="s">
        <v>1666</v>
      </c>
      <c r="T1817" s="52" t="s">
        <v>1654</v>
      </c>
      <c r="U1817" s="26">
        <f t="shared" si="290"/>
        <v>1.405</v>
      </c>
      <c r="V1817" s="26">
        <v>27.3</v>
      </c>
      <c r="W1817" s="26">
        <v>58.7</v>
      </c>
      <c r="X1817" s="26" t="s">
        <v>558</v>
      </c>
      <c r="AB1817" s="26" t="s">
        <v>1766</v>
      </c>
      <c r="AC1817" s="26" t="s">
        <v>166</v>
      </c>
      <c r="AD1817" s="153" t="str">
        <f t="shared" si="289"/>
        <v>Rye</v>
      </c>
      <c r="AE1817" s="26" t="s">
        <v>1767</v>
      </c>
      <c r="AG1817" s="26" t="s">
        <v>1767</v>
      </c>
      <c r="AH1817" s="26" t="s">
        <v>1768</v>
      </c>
      <c r="AI1817" s="26" t="s">
        <v>618</v>
      </c>
      <c r="AQ1817" s="26">
        <v>4</v>
      </c>
      <c r="AR1817" s="26">
        <v>4</v>
      </c>
      <c r="AS1817" s="26" t="s">
        <v>177</v>
      </c>
      <c r="BH1817" s="26">
        <v>3.2</v>
      </c>
      <c r="BI1817" s="26">
        <v>3.4</v>
      </c>
      <c r="BJ1817" s="26" t="s">
        <v>1226</v>
      </c>
      <c r="BK1817" s="26">
        <f>10^0.8</f>
        <v>6.3095734448019343</v>
      </c>
      <c r="BL1817" s="26">
        <f>10^0.7</f>
        <v>5.0118723362727229</v>
      </c>
      <c r="BM1817" s="26" t="s">
        <v>1229</v>
      </c>
      <c r="CL1817" s="26">
        <v>3.3</v>
      </c>
      <c r="CM1817" s="26">
        <v>3.2</v>
      </c>
      <c r="FA1817" s="26" t="s">
        <v>1771</v>
      </c>
    </row>
    <row r="1818" spans="1:157" s="26" customFormat="1" x14ac:dyDescent="0.25">
      <c r="A1818" s="26">
        <v>86</v>
      </c>
      <c r="B1818" s="26" t="s">
        <v>1272</v>
      </c>
      <c r="C1818" s="26" t="s">
        <v>1273</v>
      </c>
      <c r="D1818" s="26">
        <v>2006</v>
      </c>
      <c r="E1818" s="26">
        <v>2003</v>
      </c>
      <c r="F1818" s="26" t="s">
        <v>395</v>
      </c>
      <c r="G1818" s="26" t="s">
        <v>1765</v>
      </c>
      <c r="H1818" s="26">
        <v>40.07</v>
      </c>
      <c r="I1818" s="26">
        <v>-82.85</v>
      </c>
      <c r="J1818" s="26">
        <v>223</v>
      </c>
      <c r="P1818" s="52" t="s">
        <v>180</v>
      </c>
      <c r="Q1818" s="52"/>
      <c r="R1818" s="52"/>
      <c r="S1818" s="52" t="s">
        <v>1666</v>
      </c>
      <c r="T1818" s="52" t="s">
        <v>1654</v>
      </c>
      <c r="U1818" s="26">
        <f t="shared" si="290"/>
        <v>1.405</v>
      </c>
      <c r="V1818" s="26">
        <v>27.3</v>
      </c>
      <c r="W1818" s="26">
        <v>58.7</v>
      </c>
      <c r="X1818" s="26" t="s">
        <v>558</v>
      </c>
      <c r="AB1818" s="26" t="s">
        <v>1766</v>
      </c>
      <c r="AC1818" s="26" t="s">
        <v>1802</v>
      </c>
      <c r="AD1818" s="153" t="str">
        <f t="shared" si="289"/>
        <v>Rye/Vetch</v>
      </c>
      <c r="AE1818" s="26" t="s">
        <v>1767</v>
      </c>
      <c r="AG1818" s="26" t="s">
        <v>1767</v>
      </c>
      <c r="AH1818" s="26" t="s">
        <v>1769</v>
      </c>
      <c r="AI1818" s="26" t="s">
        <v>618</v>
      </c>
      <c r="AQ1818" s="26">
        <v>4</v>
      </c>
      <c r="AR1818" s="26">
        <v>4</v>
      </c>
      <c r="AS1818" s="26" t="s">
        <v>177</v>
      </c>
      <c r="BH1818" s="26">
        <v>3.2</v>
      </c>
      <c r="BI1818" s="26">
        <v>3.5</v>
      </c>
      <c r="BJ1818" s="26" t="s">
        <v>1226</v>
      </c>
      <c r="BK1818" s="26">
        <f t="shared" ref="BK1818:BK1819" si="295">10^0.8</f>
        <v>6.3095734448019343</v>
      </c>
      <c r="BL1818" s="26">
        <f>10^0.6</f>
        <v>3.9810717055349727</v>
      </c>
      <c r="BM1818" s="26" t="s">
        <v>1229</v>
      </c>
      <c r="CL1818" s="26">
        <v>3.3</v>
      </c>
      <c r="CM1818" s="26">
        <v>3.3</v>
      </c>
      <c r="FA1818" s="26" t="s">
        <v>1771</v>
      </c>
    </row>
    <row r="1819" spans="1:157" s="26" customFormat="1" x14ac:dyDescent="0.25">
      <c r="A1819" s="26">
        <v>86</v>
      </c>
      <c r="B1819" s="26" t="s">
        <v>1272</v>
      </c>
      <c r="C1819" s="26" t="s">
        <v>1273</v>
      </c>
      <c r="D1819" s="26">
        <v>2006</v>
      </c>
      <c r="E1819" s="26">
        <v>2003</v>
      </c>
      <c r="F1819" s="26" t="s">
        <v>395</v>
      </c>
      <c r="G1819" s="26" t="s">
        <v>1765</v>
      </c>
      <c r="H1819" s="26">
        <v>40.07</v>
      </c>
      <c r="I1819" s="26">
        <v>-82.85</v>
      </c>
      <c r="J1819" s="26">
        <v>223</v>
      </c>
      <c r="P1819" s="52" t="s">
        <v>180</v>
      </c>
      <c r="Q1819" s="52"/>
      <c r="R1819" s="52"/>
      <c r="S1819" s="52" t="s">
        <v>1666</v>
      </c>
      <c r="T1819" s="52" t="s">
        <v>1654</v>
      </c>
      <c r="U1819" s="26">
        <f t="shared" si="290"/>
        <v>1.405</v>
      </c>
      <c r="V1819" s="26">
        <v>27.3</v>
      </c>
      <c r="W1819" s="26">
        <v>58.7</v>
      </c>
      <c r="X1819" s="26" t="s">
        <v>558</v>
      </c>
      <c r="AB1819" s="26" t="s">
        <v>1766</v>
      </c>
      <c r="AC1819" s="26" t="s">
        <v>1863</v>
      </c>
      <c r="AD1819" s="153" t="str">
        <f t="shared" si="289"/>
        <v>Rye/Vetch/Rye</v>
      </c>
      <c r="AE1819" s="26" t="s">
        <v>1767</v>
      </c>
      <c r="AG1819" s="26" t="s">
        <v>1767</v>
      </c>
      <c r="AH1819" s="26" t="s">
        <v>1770</v>
      </c>
      <c r="AI1819" s="26" t="s">
        <v>618</v>
      </c>
      <c r="AQ1819" s="26">
        <v>4</v>
      </c>
      <c r="AR1819" s="26">
        <v>4</v>
      </c>
      <c r="AS1819" s="26" t="s">
        <v>177</v>
      </c>
      <c r="BH1819" s="26">
        <v>3.2</v>
      </c>
      <c r="BI1819" s="26">
        <v>3.5</v>
      </c>
      <c r="BJ1819" s="26" t="s">
        <v>1226</v>
      </c>
      <c r="BK1819" s="26">
        <f t="shared" si="295"/>
        <v>6.3095734448019343</v>
      </c>
      <c r="BL1819" s="26">
        <f>10^0.6</f>
        <v>3.9810717055349727</v>
      </c>
      <c r="BM1819" s="26" t="s">
        <v>1229</v>
      </c>
      <c r="CL1819" s="26">
        <v>3.3</v>
      </c>
      <c r="CM1819" s="26">
        <v>3.3</v>
      </c>
      <c r="FA1819" s="26" t="s">
        <v>1771</v>
      </c>
    </row>
    <row r="1820" spans="1:157" s="26" customFormat="1" x14ac:dyDescent="0.25">
      <c r="A1820" s="26">
        <v>86</v>
      </c>
      <c r="B1820" s="26" t="s">
        <v>1272</v>
      </c>
      <c r="C1820" s="26" t="s">
        <v>1273</v>
      </c>
      <c r="D1820" s="26">
        <v>2006</v>
      </c>
      <c r="E1820" s="26">
        <v>2003</v>
      </c>
      <c r="F1820" s="26" t="s">
        <v>395</v>
      </c>
      <c r="G1820" s="26" t="s">
        <v>1765</v>
      </c>
      <c r="H1820" s="26">
        <v>40.07</v>
      </c>
      <c r="I1820" s="26">
        <v>-82.85</v>
      </c>
      <c r="J1820" s="26">
        <v>223</v>
      </c>
      <c r="P1820" s="52" t="s">
        <v>180</v>
      </c>
      <c r="Q1820" s="52"/>
      <c r="R1820" s="52"/>
      <c r="S1820" s="52" t="s">
        <v>1674</v>
      </c>
      <c r="T1820" s="52" t="s">
        <v>1654</v>
      </c>
      <c r="U1820" s="26">
        <f t="shared" si="290"/>
        <v>1.405</v>
      </c>
      <c r="V1820" s="26">
        <v>27.3</v>
      </c>
      <c r="W1820" s="26">
        <v>58.7</v>
      </c>
      <c r="X1820" s="26" t="s">
        <v>558</v>
      </c>
      <c r="AB1820" s="26" t="s">
        <v>1766</v>
      </c>
      <c r="AC1820" s="26" t="s">
        <v>166</v>
      </c>
      <c r="AD1820" s="153" t="str">
        <f t="shared" si="289"/>
        <v>Rye</v>
      </c>
      <c r="AE1820" s="26" t="s">
        <v>1767</v>
      </c>
      <c r="AG1820" s="26" t="s">
        <v>1767</v>
      </c>
      <c r="AH1820" s="26" t="s">
        <v>1768</v>
      </c>
      <c r="AI1820" s="26" t="s">
        <v>618</v>
      </c>
      <c r="AQ1820" s="26">
        <v>4</v>
      </c>
      <c r="AR1820" s="26">
        <v>4</v>
      </c>
      <c r="AS1820" s="26" t="s">
        <v>177</v>
      </c>
      <c r="BH1820" s="26">
        <v>3.3</v>
      </c>
      <c r="BI1820" s="26">
        <v>3.3</v>
      </c>
      <c r="BJ1820" s="26" t="s">
        <v>1226</v>
      </c>
      <c r="BK1820" s="26">
        <f>10^0.4</f>
        <v>2.5118864315095806</v>
      </c>
      <c r="BL1820" s="26">
        <f>10^0.3</f>
        <v>1.9952623149688797</v>
      </c>
      <c r="BM1820" s="26" t="s">
        <v>1229</v>
      </c>
      <c r="CL1820" s="26">
        <v>3.2</v>
      </c>
      <c r="CM1820" s="26">
        <v>3.3</v>
      </c>
      <c r="FA1820" s="26" t="s">
        <v>1771</v>
      </c>
    </row>
    <row r="1821" spans="1:157" s="26" customFormat="1" x14ac:dyDescent="0.25">
      <c r="A1821" s="26">
        <v>86</v>
      </c>
      <c r="B1821" s="26" t="s">
        <v>1272</v>
      </c>
      <c r="C1821" s="26" t="s">
        <v>1273</v>
      </c>
      <c r="D1821" s="26">
        <v>2006</v>
      </c>
      <c r="E1821" s="26">
        <v>2003</v>
      </c>
      <c r="F1821" s="26" t="s">
        <v>395</v>
      </c>
      <c r="G1821" s="26" t="s">
        <v>1765</v>
      </c>
      <c r="H1821" s="26">
        <v>40.07</v>
      </c>
      <c r="I1821" s="26">
        <v>-82.85</v>
      </c>
      <c r="J1821" s="26">
        <v>223</v>
      </c>
      <c r="P1821" s="52" t="s">
        <v>180</v>
      </c>
      <c r="Q1821" s="52"/>
      <c r="R1821" s="52"/>
      <c r="S1821" s="52" t="s">
        <v>1674</v>
      </c>
      <c r="T1821" s="52" t="s">
        <v>1654</v>
      </c>
      <c r="U1821" s="26">
        <f t="shared" si="290"/>
        <v>1.405</v>
      </c>
      <c r="V1821" s="26">
        <v>27.3</v>
      </c>
      <c r="W1821" s="26">
        <v>58.7</v>
      </c>
      <c r="X1821" s="26" t="s">
        <v>558</v>
      </c>
      <c r="AB1821" s="26" t="s">
        <v>1766</v>
      </c>
      <c r="AC1821" s="26" t="s">
        <v>1802</v>
      </c>
      <c r="AD1821" s="153" t="str">
        <f t="shared" si="289"/>
        <v>Rye/Vetch</v>
      </c>
      <c r="AE1821" s="26" t="s">
        <v>1767</v>
      </c>
      <c r="AG1821" s="26" t="s">
        <v>1767</v>
      </c>
      <c r="AH1821" s="26" t="s">
        <v>1769</v>
      </c>
      <c r="AI1821" s="26" t="s">
        <v>618</v>
      </c>
      <c r="AQ1821" s="26">
        <v>4</v>
      </c>
      <c r="AR1821" s="26">
        <v>4</v>
      </c>
      <c r="AS1821" s="26" t="s">
        <v>177</v>
      </c>
      <c r="BH1821" s="26">
        <v>3.3</v>
      </c>
      <c r="BI1821" s="26">
        <v>3.3</v>
      </c>
      <c r="BJ1821" s="26" t="s">
        <v>1226</v>
      </c>
      <c r="BK1821" s="26">
        <f t="shared" ref="BK1821:BK1822" si="296">10^0.4</f>
        <v>2.5118864315095806</v>
      </c>
      <c r="BL1821" s="26">
        <f>10^0.6</f>
        <v>3.9810717055349727</v>
      </c>
      <c r="BM1821" s="26" t="s">
        <v>1229</v>
      </c>
      <c r="CL1821" s="26">
        <v>3.2</v>
      </c>
      <c r="CM1821" s="26">
        <v>3.3</v>
      </c>
      <c r="FA1821" s="26" t="s">
        <v>1771</v>
      </c>
    </row>
    <row r="1822" spans="1:157" s="26" customFormat="1" x14ac:dyDescent="0.25">
      <c r="A1822" s="26">
        <v>86</v>
      </c>
      <c r="B1822" s="26" t="s">
        <v>1272</v>
      </c>
      <c r="C1822" s="26" t="s">
        <v>1273</v>
      </c>
      <c r="D1822" s="26">
        <v>2006</v>
      </c>
      <c r="E1822" s="26">
        <v>2003</v>
      </c>
      <c r="F1822" s="26" t="s">
        <v>395</v>
      </c>
      <c r="G1822" s="26" t="s">
        <v>1765</v>
      </c>
      <c r="H1822" s="26">
        <v>40.07</v>
      </c>
      <c r="I1822" s="26">
        <v>-82.85</v>
      </c>
      <c r="J1822" s="26">
        <v>223</v>
      </c>
      <c r="P1822" s="52" t="s">
        <v>180</v>
      </c>
      <c r="Q1822" s="52"/>
      <c r="R1822" s="52"/>
      <c r="S1822" s="52" t="s">
        <v>1674</v>
      </c>
      <c r="T1822" s="52" t="s">
        <v>1654</v>
      </c>
      <c r="U1822" s="26">
        <f t="shared" si="290"/>
        <v>1.405</v>
      </c>
      <c r="V1822" s="26">
        <v>27.3</v>
      </c>
      <c r="W1822" s="26">
        <v>58.7</v>
      </c>
      <c r="X1822" s="26" t="s">
        <v>558</v>
      </c>
      <c r="AB1822" s="26" t="s">
        <v>1766</v>
      </c>
      <c r="AC1822" s="26" t="s">
        <v>1863</v>
      </c>
      <c r="AD1822" s="153" t="str">
        <f t="shared" si="289"/>
        <v>Rye/Vetch/Rye</v>
      </c>
      <c r="AE1822" s="26" t="s">
        <v>1767</v>
      </c>
      <c r="AG1822" s="26" t="s">
        <v>1767</v>
      </c>
      <c r="AH1822" s="26" t="s">
        <v>1770</v>
      </c>
      <c r="AI1822" s="26" t="s">
        <v>618</v>
      </c>
      <c r="AQ1822" s="26">
        <v>4</v>
      </c>
      <c r="AR1822" s="26">
        <v>4</v>
      </c>
      <c r="AS1822" s="26" t="s">
        <v>177</v>
      </c>
      <c r="BH1822" s="26">
        <v>3.3</v>
      </c>
      <c r="BI1822" s="26">
        <v>3.3</v>
      </c>
      <c r="BJ1822" s="26" t="s">
        <v>1226</v>
      </c>
      <c r="BK1822" s="26">
        <f t="shared" si="296"/>
        <v>2.5118864315095806</v>
      </c>
      <c r="BL1822" s="26">
        <f>10^0.3</f>
        <v>1.9952623149688797</v>
      </c>
      <c r="BM1822" s="26" t="s">
        <v>1229</v>
      </c>
      <c r="CL1822" s="26">
        <v>3.2</v>
      </c>
      <c r="CM1822" s="26">
        <v>3.3</v>
      </c>
      <c r="FA1822" s="26" t="s">
        <v>1771</v>
      </c>
    </row>
    <row r="1823" spans="1:157" s="26" customFormat="1" x14ac:dyDescent="0.25">
      <c r="A1823" s="26">
        <v>86</v>
      </c>
      <c r="B1823" s="26" t="s">
        <v>1272</v>
      </c>
      <c r="C1823" s="26" t="s">
        <v>1273</v>
      </c>
      <c r="D1823" s="26">
        <v>2006</v>
      </c>
      <c r="E1823" s="26">
        <v>2003</v>
      </c>
      <c r="F1823" s="26" t="s">
        <v>395</v>
      </c>
      <c r="G1823" s="26" t="s">
        <v>1765</v>
      </c>
      <c r="H1823" s="26">
        <v>40.07</v>
      </c>
      <c r="I1823" s="26">
        <v>-82.85</v>
      </c>
      <c r="J1823" s="26">
        <v>223</v>
      </c>
      <c r="P1823" s="52" t="s">
        <v>180</v>
      </c>
      <c r="Q1823" s="52"/>
      <c r="R1823" s="52"/>
      <c r="S1823" s="52" t="s">
        <v>1655</v>
      </c>
      <c r="T1823" s="52" t="s">
        <v>1654</v>
      </c>
      <c r="U1823" s="26">
        <f t="shared" si="290"/>
        <v>1.405</v>
      </c>
      <c r="V1823" s="26">
        <v>27.3</v>
      </c>
      <c r="W1823" s="26">
        <v>58.7</v>
      </c>
      <c r="X1823" s="26" t="s">
        <v>558</v>
      </c>
      <c r="AB1823" s="26" t="s">
        <v>1766</v>
      </c>
      <c r="AC1823" s="26" t="s">
        <v>166</v>
      </c>
      <c r="AD1823" s="153" t="str">
        <f t="shared" si="289"/>
        <v>Rye</v>
      </c>
      <c r="AE1823" s="26" t="s">
        <v>1767</v>
      </c>
      <c r="AG1823" s="26" t="s">
        <v>1767</v>
      </c>
      <c r="AH1823" s="26" t="s">
        <v>1768</v>
      </c>
      <c r="AI1823" s="26" t="s">
        <v>618</v>
      </c>
      <c r="AQ1823" s="26">
        <v>4</v>
      </c>
      <c r="AR1823" s="26">
        <v>4</v>
      </c>
      <c r="AS1823" s="26" t="s">
        <v>177</v>
      </c>
      <c r="BH1823" s="26">
        <v>3.7</v>
      </c>
      <c r="BI1823" s="26">
        <v>3.8</v>
      </c>
      <c r="BJ1823" s="26" t="s">
        <v>1226</v>
      </c>
      <c r="BK1823" s="26">
        <f>10^0.8</f>
        <v>6.3095734448019343</v>
      </c>
      <c r="BL1823" s="26">
        <f>10^0.7</f>
        <v>5.0118723362727229</v>
      </c>
      <c r="BM1823" s="26" t="s">
        <v>1229</v>
      </c>
      <c r="CL1823" s="26">
        <v>3.2</v>
      </c>
      <c r="CM1823" s="26">
        <v>3.2</v>
      </c>
      <c r="FA1823" s="26" t="s">
        <v>1771</v>
      </c>
    </row>
    <row r="1824" spans="1:157" s="26" customFormat="1" x14ac:dyDescent="0.25">
      <c r="A1824" s="26">
        <v>86</v>
      </c>
      <c r="B1824" s="26" t="s">
        <v>1272</v>
      </c>
      <c r="C1824" s="26" t="s">
        <v>1273</v>
      </c>
      <c r="D1824" s="26">
        <v>2006</v>
      </c>
      <c r="E1824" s="26">
        <v>2003</v>
      </c>
      <c r="F1824" s="26" t="s">
        <v>395</v>
      </c>
      <c r="G1824" s="26" t="s">
        <v>1765</v>
      </c>
      <c r="H1824" s="26">
        <v>40.07</v>
      </c>
      <c r="I1824" s="26">
        <v>-82.85</v>
      </c>
      <c r="J1824" s="26">
        <v>223</v>
      </c>
      <c r="P1824" s="52" t="s">
        <v>180</v>
      </c>
      <c r="Q1824" s="52"/>
      <c r="R1824" s="52"/>
      <c r="S1824" s="52" t="s">
        <v>1655</v>
      </c>
      <c r="T1824" s="52" t="s">
        <v>1654</v>
      </c>
      <c r="U1824" s="26">
        <f t="shared" si="290"/>
        <v>1.405</v>
      </c>
      <c r="V1824" s="26">
        <v>27.3</v>
      </c>
      <c r="W1824" s="26">
        <v>58.7</v>
      </c>
      <c r="X1824" s="26" t="s">
        <v>558</v>
      </c>
      <c r="AB1824" s="26" t="s">
        <v>1766</v>
      </c>
      <c r="AC1824" s="26" t="s">
        <v>1802</v>
      </c>
      <c r="AD1824" s="153" t="str">
        <f t="shared" si="289"/>
        <v>Rye/Vetch</v>
      </c>
      <c r="AE1824" s="26" t="s">
        <v>1767</v>
      </c>
      <c r="AG1824" s="26" t="s">
        <v>1767</v>
      </c>
      <c r="AH1824" s="26" t="s">
        <v>1769</v>
      </c>
      <c r="AI1824" s="26" t="s">
        <v>618</v>
      </c>
      <c r="AQ1824" s="26">
        <v>4</v>
      </c>
      <c r="AR1824" s="26">
        <v>4</v>
      </c>
      <c r="AS1824" s="26" t="s">
        <v>177</v>
      </c>
      <c r="BH1824" s="26">
        <v>3.7</v>
      </c>
      <c r="BI1824" s="26">
        <v>3.7</v>
      </c>
      <c r="BJ1824" s="26" t="s">
        <v>1226</v>
      </c>
      <c r="BK1824" s="26">
        <f t="shared" ref="BK1824:BK1825" si="297">10^0.8</f>
        <v>6.3095734448019343</v>
      </c>
      <c r="BL1824" s="26">
        <f>10^0.5</f>
        <v>3.1622776601683795</v>
      </c>
      <c r="BM1824" s="26" t="s">
        <v>1229</v>
      </c>
      <c r="CL1824" s="26">
        <v>3.2</v>
      </c>
      <c r="CM1824" s="26">
        <v>3.3</v>
      </c>
      <c r="FA1824" s="26" t="s">
        <v>1771</v>
      </c>
    </row>
    <row r="1825" spans="1:157" s="26" customFormat="1" x14ac:dyDescent="0.25">
      <c r="A1825" s="26">
        <v>86</v>
      </c>
      <c r="B1825" s="26" t="s">
        <v>1272</v>
      </c>
      <c r="C1825" s="26" t="s">
        <v>1273</v>
      </c>
      <c r="D1825" s="26">
        <v>2006</v>
      </c>
      <c r="E1825" s="26">
        <v>2003</v>
      </c>
      <c r="F1825" s="26" t="s">
        <v>395</v>
      </c>
      <c r="G1825" s="26" t="s">
        <v>1765</v>
      </c>
      <c r="H1825" s="26">
        <v>40.07</v>
      </c>
      <c r="I1825" s="26">
        <v>-82.85</v>
      </c>
      <c r="J1825" s="26">
        <v>223</v>
      </c>
      <c r="P1825" s="52" t="s">
        <v>180</v>
      </c>
      <c r="Q1825" s="52"/>
      <c r="R1825" s="52"/>
      <c r="S1825" s="52" t="s">
        <v>1655</v>
      </c>
      <c r="T1825" s="52" t="s">
        <v>1654</v>
      </c>
      <c r="U1825" s="26">
        <f t="shared" si="290"/>
        <v>1.405</v>
      </c>
      <c r="V1825" s="26">
        <v>27.3</v>
      </c>
      <c r="W1825" s="26">
        <v>58.7</v>
      </c>
      <c r="X1825" s="26" t="s">
        <v>558</v>
      </c>
      <c r="AB1825" s="26" t="s">
        <v>1766</v>
      </c>
      <c r="AC1825" s="26" t="s">
        <v>1863</v>
      </c>
      <c r="AD1825" s="153" t="str">
        <f t="shared" si="289"/>
        <v>Rye/Vetch/Rye</v>
      </c>
      <c r="AE1825" s="26" t="s">
        <v>1767</v>
      </c>
      <c r="AG1825" s="26" t="s">
        <v>1767</v>
      </c>
      <c r="AH1825" s="26" t="s">
        <v>1770</v>
      </c>
      <c r="AI1825" s="26" t="s">
        <v>618</v>
      </c>
      <c r="AQ1825" s="26">
        <v>4</v>
      </c>
      <c r="AR1825" s="26">
        <v>4</v>
      </c>
      <c r="AS1825" s="26" t="s">
        <v>177</v>
      </c>
      <c r="BH1825" s="26">
        <v>3.7</v>
      </c>
      <c r="BI1825" s="26">
        <v>4</v>
      </c>
      <c r="BJ1825" s="26" t="s">
        <v>1226</v>
      </c>
      <c r="BK1825" s="26">
        <f t="shared" si="297"/>
        <v>6.3095734448019343</v>
      </c>
      <c r="BL1825" s="26">
        <f>10^0.6</f>
        <v>3.9810717055349727</v>
      </c>
      <c r="BM1825" s="26" t="s">
        <v>1229</v>
      </c>
      <c r="CL1825" s="26">
        <v>3.2</v>
      </c>
      <c r="CM1825" s="26">
        <v>3.3</v>
      </c>
      <c r="FA1825" s="26" t="s">
        <v>1771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16" workbookViewId="0">
      <selection activeCell="E34" sqref="E34"/>
    </sheetView>
  </sheetViews>
  <sheetFormatPr defaultRowHeight="15" x14ac:dyDescent="0.25"/>
  <cols>
    <col min="2" max="2" width="28.140625" customWidth="1"/>
    <col min="3" max="3" width="70.5703125" customWidth="1"/>
    <col min="4" max="4" width="14" customWidth="1"/>
  </cols>
  <sheetData>
    <row r="1" spans="1:5" x14ac:dyDescent="0.25">
      <c r="A1" s="2" t="s">
        <v>5</v>
      </c>
      <c r="B1" t="s">
        <v>143</v>
      </c>
      <c r="C1" t="s">
        <v>705</v>
      </c>
      <c r="E1" t="s">
        <v>219</v>
      </c>
    </row>
    <row r="2" spans="1:5" x14ac:dyDescent="0.25">
      <c r="A2" s="2" t="s">
        <v>5</v>
      </c>
      <c r="B2" s="1" t="s">
        <v>45</v>
      </c>
      <c r="C2" s="4" t="s">
        <v>118</v>
      </c>
    </row>
    <row r="3" spans="1:5" x14ac:dyDescent="0.25">
      <c r="A3" s="2"/>
      <c r="B3" s="1" t="s">
        <v>46</v>
      </c>
      <c r="C3" s="4" t="s">
        <v>47</v>
      </c>
    </row>
    <row r="4" spans="1:5" x14ac:dyDescent="0.25">
      <c r="A4" s="2"/>
      <c r="B4" s="1" t="s">
        <v>6</v>
      </c>
      <c r="C4" s="4" t="s">
        <v>48</v>
      </c>
    </row>
    <row r="5" spans="1:5" x14ac:dyDescent="0.25">
      <c r="A5" s="2"/>
      <c r="B5" s="1" t="s">
        <v>239</v>
      </c>
      <c r="C5" s="4" t="s">
        <v>243</v>
      </c>
    </row>
    <row r="6" spans="1:5" x14ac:dyDescent="0.25">
      <c r="A6" s="2"/>
      <c r="B6" s="1" t="s">
        <v>113</v>
      </c>
      <c r="C6" s="4" t="s">
        <v>114</v>
      </c>
    </row>
    <row r="7" spans="1:5" x14ac:dyDescent="0.25">
      <c r="A7" s="2"/>
      <c r="B7" s="1" t="s">
        <v>4</v>
      </c>
      <c r="C7" s="4" t="s">
        <v>49</v>
      </c>
    </row>
    <row r="8" spans="1:5" x14ac:dyDescent="0.25">
      <c r="A8" s="2"/>
      <c r="B8" s="1" t="s">
        <v>3</v>
      </c>
      <c r="C8" s="4" t="s">
        <v>3</v>
      </c>
    </row>
    <row r="9" spans="1:5" x14ac:dyDescent="0.25">
      <c r="A9" s="2"/>
      <c r="B9" s="1" t="s">
        <v>2</v>
      </c>
      <c r="C9" s="4" t="s">
        <v>2</v>
      </c>
    </row>
    <row r="10" spans="1:5" x14ac:dyDescent="0.25">
      <c r="A10" s="2"/>
      <c r="B10" s="1" t="s">
        <v>112</v>
      </c>
      <c r="C10" s="4" t="s">
        <v>112</v>
      </c>
      <c r="D10" t="s">
        <v>164</v>
      </c>
    </row>
    <row r="11" spans="1:5" x14ac:dyDescent="0.25">
      <c r="A11" s="2"/>
      <c r="B11" s="1" t="s">
        <v>37</v>
      </c>
      <c r="C11" s="4" t="s">
        <v>50</v>
      </c>
    </row>
    <row r="12" spans="1:5" x14ac:dyDescent="0.25">
      <c r="A12" s="2"/>
      <c r="B12" s="1" t="s">
        <v>16</v>
      </c>
      <c r="C12" s="4" t="s">
        <v>51</v>
      </c>
    </row>
    <row r="13" spans="1:5" x14ac:dyDescent="0.25">
      <c r="A13" s="2"/>
      <c r="B13" s="1" t="s">
        <v>38</v>
      </c>
      <c r="C13" s="4" t="s">
        <v>52</v>
      </c>
      <c r="D13" t="s">
        <v>170</v>
      </c>
    </row>
    <row r="14" spans="1:5" x14ac:dyDescent="0.25">
      <c r="A14" s="2"/>
      <c r="B14" s="1" t="s">
        <v>17</v>
      </c>
      <c r="C14" s="4" t="s">
        <v>53</v>
      </c>
      <c r="D14" t="s">
        <v>170</v>
      </c>
    </row>
    <row r="15" spans="1:5" x14ac:dyDescent="0.25">
      <c r="A15" s="2"/>
      <c r="B15" s="1" t="s">
        <v>18</v>
      </c>
      <c r="C15" s="4" t="s">
        <v>54</v>
      </c>
    </row>
    <row r="16" spans="1:5" x14ac:dyDescent="0.25">
      <c r="A16" s="2"/>
      <c r="B16" s="1" t="s">
        <v>8</v>
      </c>
      <c r="C16" s="4" t="s">
        <v>55</v>
      </c>
    </row>
    <row r="17" spans="1:4" x14ac:dyDescent="0.25">
      <c r="A17" s="2"/>
      <c r="B17" s="1" t="s">
        <v>1059</v>
      </c>
      <c r="C17" s="4" t="s">
        <v>1064</v>
      </c>
    </row>
    <row r="18" spans="1:4" x14ac:dyDescent="0.25">
      <c r="A18" s="2"/>
      <c r="B18" s="1" t="s">
        <v>1061</v>
      </c>
      <c r="C18" s="4" t="s">
        <v>1062</v>
      </c>
    </row>
    <row r="19" spans="1:4" x14ac:dyDescent="0.25">
      <c r="A19" s="2"/>
      <c r="B19" s="1" t="s">
        <v>7</v>
      </c>
      <c r="C19" s="4" t="s">
        <v>115</v>
      </c>
      <c r="D19" t="s">
        <v>202</v>
      </c>
    </row>
    <row r="20" spans="1:4" x14ac:dyDescent="0.25">
      <c r="A20" s="2"/>
      <c r="B20" s="1" t="s">
        <v>342</v>
      </c>
      <c r="C20" s="4" t="s">
        <v>343</v>
      </c>
    </row>
    <row r="21" spans="1:4" x14ac:dyDescent="0.25">
      <c r="A21" s="2"/>
      <c r="B21" s="1" t="s">
        <v>156</v>
      </c>
      <c r="C21" s="4" t="s">
        <v>158</v>
      </c>
    </row>
    <row r="22" spans="1:4" x14ac:dyDescent="0.25">
      <c r="A22" s="2"/>
      <c r="B22" s="1" t="s">
        <v>157</v>
      </c>
      <c r="C22" s="4" t="s">
        <v>159</v>
      </c>
    </row>
    <row r="23" spans="1:4" x14ac:dyDescent="0.25">
      <c r="A23" s="2"/>
      <c r="B23" s="1" t="s">
        <v>15</v>
      </c>
      <c r="C23" s="4" t="s">
        <v>56</v>
      </c>
    </row>
    <row r="24" spans="1:4" x14ac:dyDescent="0.25">
      <c r="A24" s="2"/>
      <c r="B24" s="1" t="s">
        <v>244</v>
      </c>
      <c r="C24" s="4" t="s">
        <v>247</v>
      </c>
    </row>
    <row r="25" spans="1:4" x14ac:dyDescent="0.25">
      <c r="A25" s="2"/>
      <c r="B25" s="1" t="s">
        <v>245</v>
      </c>
      <c r="C25" s="4" t="s">
        <v>248</v>
      </c>
      <c r="D25" t="s">
        <v>92</v>
      </c>
    </row>
    <row r="26" spans="1:4" x14ac:dyDescent="0.25">
      <c r="A26" s="2"/>
      <c r="B26" s="1" t="s">
        <v>246</v>
      </c>
      <c r="C26" s="4" t="s">
        <v>249</v>
      </c>
      <c r="D26" t="s">
        <v>636</v>
      </c>
    </row>
    <row r="27" spans="1:4" x14ac:dyDescent="0.25">
      <c r="A27" s="2"/>
      <c r="B27" s="1" t="s">
        <v>1544</v>
      </c>
      <c r="C27" s="4" t="s">
        <v>88</v>
      </c>
    </row>
    <row r="28" spans="1:4" x14ac:dyDescent="0.25">
      <c r="A28" s="2"/>
      <c r="B28" s="1" t="s">
        <v>0</v>
      </c>
      <c r="C28" s="4" t="s">
        <v>57</v>
      </c>
    </row>
    <row r="29" spans="1:4" x14ac:dyDescent="0.25">
      <c r="A29" s="2"/>
      <c r="B29" s="1" t="s">
        <v>1783</v>
      </c>
      <c r="C29" s="4" t="s">
        <v>1784</v>
      </c>
    </row>
    <row r="30" spans="1:4" x14ac:dyDescent="0.25">
      <c r="A30" s="2"/>
      <c r="B30" s="1" t="s">
        <v>1</v>
      </c>
      <c r="C30" s="4" t="s">
        <v>58</v>
      </c>
    </row>
    <row r="31" spans="1:4" x14ac:dyDescent="0.25">
      <c r="A31" s="2"/>
      <c r="B31" s="1" t="s">
        <v>1782</v>
      </c>
      <c r="C31" s="4" t="s">
        <v>1785</v>
      </c>
    </row>
    <row r="32" spans="1:4" x14ac:dyDescent="0.25">
      <c r="A32" s="2"/>
      <c r="B32" s="1" t="s">
        <v>650</v>
      </c>
      <c r="C32" s="4" t="s">
        <v>686</v>
      </c>
    </row>
    <row r="33" spans="1:4" x14ac:dyDescent="0.25">
      <c r="A33" s="2"/>
      <c r="B33" s="1" t="s">
        <v>649</v>
      </c>
      <c r="C33" s="4" t="s">
        <v>685</v>
      </c>
    </row>
    <row r="34" spans="1:4" x14ac:dyDescent="0.25">
      <c r="A34" s="2"/>
      <c r="B34" s="1" t="s">
        <v>651</v>
      </c>
      <c r="C34" s="4" t="s">
        <v>687</v>
      </c>
    </row>
    <row r="35" spans="1:4" x14ac:dyDescent="0.25">
      <c r="A35" s="2"/>
      <c r="B35" s="1" t="s">
        <v>654</v>
      </c>
      <c r="C35" s="4" t="s">
        <v>657</v>
      </c>
    </row>
    <row r="36" spans="1:4" x14ac:dyDescent="0.25">
      <c r="A36" s="2"/>
      <c r="B36" s="1" t="s">
        <v>653</v>
      </c>
      <c r="C36" s="4" t="s">
        <v>656</v>
      </c>
    </row>
    <row r="37" spans="1:4" x14ac:dyDescent="0.25">
      <c r="A37" s="2"/>
      <c r="B37" s="1" t="s">
        <v>655</v>
      </c>
      <c r="C37" s="4" t="s">
        <v>652</v>
      </c>
    </row>
    <row r="38" spans="1:4" x14ac:dyDescent="0.25">
      <c r="A38" s="2"/>
      <c r="B38" s="1" t="s">
        <v>274</v>
      </c>
      <c r="C38" s="4" t="s">
        <v>59</v>
      </c>
    </row>
    <row r="39" spans="1:4" x14ac:dyDescent="0.25">
      <c r="A39" s="2"/>
      <c r="B39" s="1" t="s">
        <v>273</v>
      </c>
      <c r="C39" s="4" t="s">
        <v>59</v>
      </c>
    </row>
    <row r="40" spans="1:4" x14ac:dyDescent="0.25">
      <c r="A40" s="2"/>
      <c r="B40" s="1" t="s">
        <v>617</v>
      </c>
      <c r="C40" s="4" t="s">
        <v>619</v>
      </c>
    </row>
    <row r="41" spans="1:4" x14ac:dyDescent="0.25">
      <c r="A41" s="2"/>
      <c r="B41" s="6" t="s">
        <v>90</v>
      </c>
      <c r="C41" s="4" t="s">
        <v>91</v>
      </c>
    </row>
    <row r="42" spans="1:4" x14ac:dyDescent="0.25">
      <c r="A42" s="2"/>
      <c r="B42" s="6" t="s">
        <v>26</v>
      </c>
      <c r="C42" t="s">
        <v>61</v>
      </c>
    </row>
    <row r="43" spans="1:4" x14ac:dyDescent="0.25">
      <c r="A43" s="2"/>
      <c r="B43" s="6" t="s">
        <v>25</v>
      </c>
      <c r="C43" t="s">
        <v>60</v>
      </c>
    </row>
    <row r="44" spans="1:4" x14ac:dyDescent="0.25">
      <c r="A44" s="2"/>
      <c r="B44" s="6" t="s">
        <v>176</v>
      </c>
      <c r="C44" t="s">
        <v>178</v>
      </c>
    </row>
    <row r="45" spans="1:4" x14ac:dyDescent="0.25">
      <c r="A45" s="2"/>
      <c r="B45" s="12" t="s">
        <v>94</v>
      </c>
      <c r="C45" s="4" t="s">
        <v>95</v>
      </c>
      <c r="D45" t="s">
        <v>89</v>
      </c>
    </row>
    <row r="46" spans="1:4" x14ac:dyDescent="0.25">
      <c r="A46" s="2"/>
      <c r="B46" s="12" t="s">
        <v>93</v>
      </c>
      <c r="C46" s="4" t="s">
        <v>96</v>
      </c>
      <c r="D46" t="s">
        <v>89</v>
      </c>
    </row>
    <row r="47" spans="1:4" x14ac:dyDescent="0.25">
      <c r="A47" s="2"/>
      <c r="B47" s="12" t="s">
        <v>352</v>
      </c>
      <c r="C47" s="4" t="s">
        <v>353</v>
      </c>
      <c r="D47" t="s">
        <v>92</v>
      </c>
    </row>
    <row r="48" spans="1:4" x14ac:dyDescent="0.25">
      <c r="A48" s="2"/>
      <c r="B48" s="12" t="s">
        <v>744</v>
      </c>
      <c r="C48" s="4" t="s">
        <v>745</v>
      </c>
    </row>
    <row r="49" spans="1:4" x14ac:dyDescent="0.25">
      <c r="A49" s="14"/>
      <c r="B49" s="1" t="s">
        <v>184</v>
      </c>
      <c r="C49" s="4" t="s">
        <v>514</v>
      </c>
    </row>
    <row r="50" spans="1:4" x14ac:dyDescent="0.25">
      <c r="A50" s="14"/>
      <c r="B50" s="1"/>
      <c r="C50" s="4"/>
    </row>
    <row r="51" spans="1:4" x14ac:dyDescent="0.25">
      <c r="A51" s="3"/>
      <c r="B51" s="1" t="s">
        <v>963</v>
      </c>
      <c r="C51" s="4" t="s">
        <v>1086</v>
      </c>
      <c r="D51" t="s">
        <v>1089</v>
      </c>
    </row>
    <row r="52" spans="1:4" x14ac:dyDescent="0.25">
      <c r="A52" s="3"/>
      <c r="B52" s="1" t="s">
        <v>964</v>
      </c>
      <c r="C52" s="4" t="s">
        <v>1087</v>
      </c>
      <c r="D52" t="s">
        <v>1089</v>
      </c>
    </row>
    <row r="53" spans="1:4" x14ac:dyDescent="0.25">
      <c r="A53" s="3"/>
      <c r="B53" s="1" t="s">
        <v>1013</v>
      </c>
      <c r="C53" s="4" t="s">
        <v>1088</v>
      </c>
      <c r="D53" t="s">
        <v>1089</v>
      </c>
    </row>
    <row r="54" spans="1:4" x14ac:dyDescent="0.25">
      <c r="A54" s="3"/>
      <c r="B54" s="1" t="s">
        <v>14</v>
      </c>
      <c r="C54" t="s">
        <v>63</v>
      </c>
      <c r="D54" t="s">
        <v>89</v>
      </c>
    </row>
    <row r="55" spans="1:4" x14ac:dyDescent="0.25">
      <c r="A55" s="3" t="s">
        <v>44</v>
      </c>
      <c r="B55" s="1" t="s">
        <v>13</v>
      </c>
      <c r="C55" t="s">
        <v>62</v>
      </c>
      <c r="D55" t="s">
        <v>89</v>
      </c>
    </row>
    <row r="56" spans="1:4" x14ac:dyDescent="0.25">
      <c r="A56" s="3"/>
      <c r="B56" s="1" t="s">
        <v>987</v>
      </c>
      <c r="C56" t="s">
        <v>988</v>
      </c>
      <c r="D56" t="s">
        <v>89</v>
      </c>
    </row>
    <row r="57" spans="1:4" x14ac:dyDescent="0.25">
      <c r="A57" s="3"/>
      <c r="B57" s="1" t="s">
        <v>24</v>
      </c>
      <c r="C57" t="s">
        <v>65</v>
      </c>
    </row>
    <row r="58" spans="1:4" x14ac:dyDescent="0.25">
      <c r="A58" s="3"/>
      <c r="B58" s="1" t="s">
        <v>23</v>
      </c>
      <c r="C58" t="s">
        <v>64</v>
      </c>
    </row>
    <row r="59" spans="1:4" x14ac:dyDescent="0.25">
      <c r="A59" s="3"/>
      <c r="B59" s="1" t="s">
        <v>968</v>
      </c>
      <c r="C59" t="s">
        <v>989</v>
      </c>
    </row>
    <row r="60" spans="1:4" x14ac:dyDescent="0.25">
      <c r="A60" s="3"/>
      <c r="B60" s="1" t="s">
        <v>10</v>
      </c>
      <c r="C60" t="s">
        <v>67</v>
      </c>
      <c r="D60" t="s">
        <v>92</v>
      </c>
    </row>
    <row r="61" spans="1:4" x14ac:dyDescent="0.25">
      <c r="A61" s="3"/>
      <c r="B61" s="1" t="s">
        <v>9</v>
      </c>
      <c r="C61" t="s">
        <v>66</v>
      </c>
      <c r="D61" t="s">
        <v>92</v>
      </c>
    </row>
    <row r="62" spans="1:4" x14ac:dyDescent="0.25">
      <c r="A62" s="3"/>
      <c r="B62" s="1" t="s">
        <v>907</v>
      </c>
      <c r="C62" t="s">
        <v>990</v>
      </c>
      <c r="D62" t="s">
        <v>92</v>
      </c>
    </row>
    <row r="63" spans="1:4" x14ac:dyDescent="0.25">
      <c r="A63" s="3"/>
      <c r="B63" s="1" t="s">
        <v>290</v>
      </c>
      <c r="C63" t="s">
        <v>69</v>
      </c>
      <c r="D63" t="s">
        <v>197</v>
      </c>
    </row>
    <row r="64" spans="1:4" x14ac:dyDescent="0.25">
      <c r="A64" s="3"/>
      <c r="B64" s="1" t="s">
        <v>291</v>
      </c>
      <c r="C64" t="s">
        <v>68</v>
      </c>
      <c r="D64" t="s">
        <v>197</v>
      </c>
    </row>
    <row r="65" spans="1:8" x14ac:dyDescent="0.25">
      <c r="A65" s="3"/>
      <c r="B65" s="1" t="s">
        <v>908</v>
      </c>
      <c r="C65" t="s">
        <v>991</v>
      </c>
      <c r="D65" t="s">
        <v>197</v>
      </c>
      <c r="H65" s="20">
        <f>10000000</f>
        <v>10000000</v>
      </c>
    </row>
    <row r="66" spans="1:8" x14ac:dyDescent="0.25">
      <c r="A66" s="3"/>
      <c r="B66" s="1" t="s">
        <v>20</v>
      </c>
      <c r="C66" t="s">
        <v>71</v>
      </c>
      <c r="D66" t="s">
        <v>197</v>
      </c>
    </row>
    <row r="67" spans="1:8" x14ac:dyDescent="0.25">
      <c r="A67" s="3"/>
      <c r="B67" s="1" t="s">
        <v>19</v>
      </c>
      <c r="C67" t="s">
        <v>70</v>
      </c>
      <c r="D67" t="s">
        <v>197</v>
      </c>
    </row>
    <row r="68" spans="1:8" x14ac:dyDescent="0.25">
      <c r="A68" s="3"/>
      <c r="B68" s="1" t="s">
        <v>909</v>
      </c>
      <c r="C68" t="s">
        <v>992</v>
      </c>
      <c r="D68" t="s">
        <v>197</v>
      </c>
    </row>
    <row r="69" spans="1:8" x14ac:dyDescent="0.25">
      <c r="A69" s="3"/>
      <c r="B69" s="1" t="s">
        <v>22</v>
      </c>
      <c r="C69" t="s">
        <v>73</v>
      </c>
      <c r="D69" t="s">
        <v>197</v>
      </c>
    </row>
    <row r="70" spans="1:8" x14ac:dyDescent="0.25">
      <c r="A70" s="3"/>
      <c r="B70" s="1" t="s">
        <v>21</v>
      </c>
      <c r="C70" t="s">
        <v>72</v>
      </c>
      <c r="D70" t="s">
        <v>197</v>
      </c>
    </row>
    <row r="71" spans="1:8" x14ac:dyDescent="0.25">
      <c r="A71" s="3"/>
      <c r="B71" s="1" t="s">
        <v>993</v>
      </c>
      <c r="C71" t="s">
        <v>994</v>
      </c>
      <c r="D71" t="s">
        <v>197</v>
      </c>
    </row>
    <row r="72" spans="1:8" x14ac:dyDescent="0.25">
      <c r="A72" s="3"/>
      <c r="B72" s="1" t="s">
        <v>12</v>
      </c>
      <c r="C72" t="s">
        <v>75</v>
      </c>
    </row>
    <row r="73" spans="1:8" x14ac:dyDescent="0.25">
      <c r="A73" s="3"/>
      <c r="B73" s="1" t="s">
        <v>11</v>
      </c>
      <c r="C73" t="s">
        <v>74</v>
      </c>
    </row>
    <row r="74" spans="1:8" x14ac:dyDescent="0.25">
      <c r="A74" s="3"/>
      <c r="B74" s="1" t="s">
        <v>971</v>
      </c>
      <c r="C74" t="s">
        <v>995</v>
      </c>
    </row>
    <row r="75" spans="1:8" x14ac:dyDescent="0.25">
      <c r="A75" s="3"/>
      <c r="B75" s="1" t="s">
        <v>32</v>
      </c>
      <c r="C75" t="s">
        <v>79</v>
      </c>
      <c r="D75" t="s">
        <v>199</v>
      </c>
    </row>
    <row r="76" spans="1:8" x14ac:dyDescent="0.25">
      <c r="A76" s="3"/>
      <c r="B76" s="1" t="s">
        <v>31</v>
      </c>
      <c r="C76" t="s">
        <v>78</v>
      </c>
      <c r="D76" t="s">
        <v>199</v>
      </c>
    </row>
    <row r="77" spans="1:8" x14ac:dyDescent="0.25">
      <c r="A77" s="3"/>
      <c r="B77" s="1" t="s">
        <v>974</v>
      </c>
      <c r="C77" t="s">
        <v>997</v>
      </c>
      <c r="D77" t="s">
        <v>199</v>
      </c>
    </row>
    <row r="78" spans="1:8" x14ac:dyDescent="0.25">
      <c r="A78" s="3"/>
      <c r="B78" s="1" t="s">
        <v>34</v>
      </c>
      <c r="C78" t="s">
        <v>1307</v>
      </c>
      <c r="D78" t="s">
        <v>1213</v>
      </c>
    </row>
    <row r="79" spans="1:8" x14ac:dyDescent="0.25">
      <c r="A79" s="3"/>
      <c r="B79" s="1" t="s">
        <v>33</v>
      </c>
      <c r="C79" t="s">
        <v>1308</v>
      </c>
    </row>
    <row r="80" spans="1:8" x14ac:dyDescent="0.25">
      <c r="A80" s="3"/>
      <c r="B80" s="1" t="s">
        <v>911</v>
      </c>
      <c r="C80" t="s">
        <v>1309</v>
      </c>
    </row>
    <row r="81" spans="1:4" x14ac:dyDescent="0.25">
      <c r="A81" s="3"/>
      <c r="B81" s="1" t="s">
        <v>36</v>
      </c>
      <c r="C81" t="s">
        <v>1310</v>
      </c>
    </row>
    <row r="82" spans="1:4" x14ac:dyDescent="0.25">
      <c r="A82" s="3"/>
      <c r="B82" s="1" t="s">
        <v>35</v>
      </c>
      <c r="C82" t="s">
        <v>116</v>
      </c>
    </row>
    <row r="83" spans="1:4" x14ac:dyDescent="0.25">
      <c r="A83" s="3"/>
      <c r="B83" s="1" t="s">
        <v>975</v>
      </c>
      <c r="C83" t="s">
        <v>998</v>
      </c>
    </row>
    <row r="84" spans="1:4" x14ac:dyDescent="0.25">
      <c r="A84" s="3"/>
      <c r="B84" s="1" t="s">
        <v>28</v>
      </c>
      <c r="C84" t="s">
        <v>77</v>
      </c>
      <c r="D84" t="s">
        <v>541</v>
      </c>
    </row>
    <row r="85" spans="1:4" x14ac:dyDescent="0.25">
      <c r="A85" s="3"/>
      <c r="B85" s="1" t="s">
        <v>27</v>
      </c>
      <c r="C85" t="s">
        <v>76</v>
      </c>
      <c r="D85" t="s">
        <v>541</v>
      </c>
    </row>
    <row r="86" spans="1:4" x14ac:dyDescent="0.25">
      <c r="A86" s="3"/>
      <c r="B86" s="1" t="s">
        <v>910</v>
      </c>
      <c r="C86" t="s">
        <v>996</v>
      </c>
      <c r="D86" t="s">
        <v>541</v>
      </c>
    </row>
    <row r="87" spans="1:4" x14ac:dyDescent="0.25">
      <c r="A87" s="3"/>
      <c r="B87" s="1" t="s">
        <v>1117</v>
      </c>
      <c r="C87" t="s">
        <v>1120</v>
      </c>
    </row>
    <row r="88" spans="1:4" x14ac:dyDescent="0.25">
      <c r="A88" s="3"/>
      <c r="B88" s="1" t="s">
        <v>1118</v>
      </c>
      <c r="C88" t="s">
        <v>1121</v>
      </c>
    </row>
    <row r="89" spans="1:4" x14ac:dyDescent="0.25">
      <c r="A89" s="3"/>
      <c r="B89" s="1" t="s">
        <v>1119</v>
      </c>
      <c r="C89" t="s">
        <v>1122</v>
      </c>
    </row>
    <row r="90" spans="1:4" x14ac:dyDescent="0.25">
      <c r="A90" s="3"/>
      <c r="B90" s="1" t="s">
        <v>30</v>
      </c>
      <c r="C90" t="s">
        <v>1046</v>
      </c>
      <c r="D90" t="s">
        <v>1231</v>
      </c>
    </row>
    <row r="91" spans="1:4" x14ac:dyDescent="0.25">
      <c r="A91" s="3"/>
      <c r="B91" s="1" t="s">
        <v>29</v>
      </c>
      <c r="C91" t="s">
        <v>1047</v>
      </c>
      <c r="D91" t="s">
        <v>1231</v>
      </c>
    </row>
    <row r="92" spans="1:4" x14ac:dyDescent="0.25">
      <c r="A92" s="3"/>
      <c r="B92" s="1" t="s">
        <v>973</v>
      </c>
      <c r="C92" t="s">
        <v>1048</v>
      </c>
      <c r="D92" t="s">
        <v>1231</v>
      </c>
    </row>
    <row r="93" spans="1:4" x14ac:dyDescent="0.25">
      <c r="A93" s="3"/>
      <c r="B93" s="1" t="s">
        <v>42</v>
      </c>
      <c r="C93" t="s">
        <v>1043</v>
      </c>
      <c r="D93" t="s">
        <v>738</v>
      </c>
    </row>
    <row r="94" spans="1:4" x14ac:dyDescent="0.25">
      <c r="A94" s="3"/>
      <c r="B94" s="1" t="s">
        <v>41</v>
      </c>
      <c r="C94" t="s">
        <v>1044</v>
      </c>
      <c r="D94" t="s">
        <v>738</v>
      </c>
    </row>
    <row r="95" spans="1:4" x14ac:dyDescent="0.25">
      <c r="A95" s="3"/>
      <c r="B95" s="1" t="s">
        <v>912</v>
      </c>
      <c r="C95" t="s">
        <v>1045</v>
      </c>
      <c r="D95" t="s">
        <v>738</v>
      </c>
    </row>
    <row r="96" spans="1:4" x14ac:dyDescent="0.25">
      <c r="A96" s="3"/>
      <c r="B96" s="1" t="s">
        <v>120</v>
      </c>
      <c r="C96" t="s">
        <v>142</v>
      </c>
      <c r="D96" t="s">
        <v>377</v>
      </c>
    </row>
    <row r="97" spans="1:5" x14ac:dyDescent="0.25">
      <c r="A97" s="3"/>
      <c r="B97" s="1" t="s">
        <v>119</v>
      </c>
      <c r="C97" t="s">
        <v>141</v>
      </c>
      <c r="D97" t="s">
        <v>377</v>
      </c>
    </row>
    <row r="98" spans="1:5" x14ac:dyDescent="0.25">
      <c r="A98" s="3"/>
      <c r="B98" s="1" t="s">
        <v>977</v>
      </c>
      <c r="C98" t="s">
        <v>1000</v>
      </c>
      <c r="D98" t="s">
        <v>377</v>
      </c>
    </row>
    <row r="99" spans="1:5" x14ac:dyDescent="0.25">
      <c r="A99" s="3"/>
      <c r="B99" s="1" t="s">
        <v>1232</v>
      </c>
      <c r="C99" t="s">
        <v>1235</v>
      </c>
    </row>
    <row r="100" spans="1:5" x14ac:dyDescent="0.25">
      <c r="A100" s="3"/>
      <c r="B100" s="1" t="s">
        <v>1233</v>
      </c>
      <c r="C100" t="s">
        <v>1236</v>
      </c>
    </row>
    <row r="101" spans="1:5" x14ac:dyDescent="0.25">
      <c r="A101" s="3"/>
      <c r="B101" s="1" t="s">
        <v>1234</v>
      </c>
      <c r="C101" t="s">
        <v>1237</v>
      </c>
    </row>
    <row r="102" spans="1:5" x14ac:dyDescent="0.25">
      <c r="A102" s="3"/>
      <c r="B102" s="1" t="s">
        <v>1192</v>
      </c>
      <c r="C102" t="s">
        <v>1608</v>
      </c>
      <c r="D102" t="s">
        <v>221</v>
      </c>
      <c r="E102" t="s">
        <v>389</v>
      </c>
    </row>
    <row r="103" spans="1:5" x14ac:dyDescent="0.25">
      <c r="A103" s="3"/>
      <c r="B103" s="1" t="s">
        <v>1193</v>
      </c>
      <c r="C103" t="s">
        <v>1609</v>
      </c>
      <c r="D103" t="s">
        <v>221</v>
      </c>
      <c r="E103" t="s">
        <v>389</v>
      </c>
    </row>
    <row r="104" spans="1:5" x14ac:dyDescent="0.25">
      <c r="A104" s="3"/>
      <c r="B104" s="1" t="s">
        <v>1194</v>
      </c>
      <c r="C104" t="s">
        <v>1001</v>
      </c>
      <c r="D104" t="s">
        <v>221</v>
      </c>
      <c r="E104" t="s">
        <v>389</v>
      </c>
    </row>
    <row r="105" spans="1:5" x14ac:dyDescent="0.25">
      <c r="A105" s="3"/>
      <c r="B105" s="1" t="s">
        <v>1197</v>
      </c>
      <c r="C105" t="s">
        <v>1610</v>
      </c>
    </row>
    <row r="106" spans="1:5" x14ac:dyDescent="0.25">
      <c r="A106" s="3"/>
      <c r="B106" s="1" t="s">
        <v>1195</v>
      </c>
      <c r="C106" t="s">
        <v>1611</v>
      </c>
    </row>
    <row r="107" spans="1:5" x14ac:dyDescent="0.25">
      <c r="A107" s="3"/>
      <c r="B107" s="1" t="s">
        <v>1196</v>
      </c>
      <c r="C107" t="s">
        <v>906</v>
      </c>
    </row>
    <row r="108" spans="1:5" x14ac:dyDescent="0.25">
      <c r="A108" s="3"/>
      <c r="B108" s="1" t="s">
        <v>82</v>
      </c>
      <c r="C108" t="s">
        <v>86</v>
      </c>
    </row>
    <row r="109" spans="1:5" x14ac:dyDescent="0.25">
      <c r="A109" s="3"/>
      <c r="B109" s="1" t="s">
        <v>83</v>
      </c>
      <c r="C109" t="s">
        <v>87</v>
      </c>
    </row>
    <row r="110" spans="1:5" x14ac:dyDescent="0.25">
      <c r="A110" s="3"/>
      <c r="B110" s="1" t="s">
        <v>978</v>
      </c>
      <c r="C110" t="s">
        <v>1002</v>
      </c>
    </row>
    <row r="111" spans="1:5" x14ac:dyDescent="0.25">
      <c r="A111" s="3"/>
      <c r="B111" s="1" t="s">
        <v>84</v>
      </c>
      <c r="C111" t="s">
        <v>1612</v>
      </c>
      <c r="D111" t="s">
        <v>223</v>
      </c>
    </row>
    <row r="112" spans="1:5" x14ac:dyDescent="0.25">
      <c r="A112" s="3"/>
      <c r="B112" s="1" t="s">
        <v>85</v>
      </c>
      <c r="C112" t="s">
        <v>1613</v>
      </c>
      <c r="D112" t="s">
        <v>223</v>
      </c>
    </row>
    <row r="113" spans="1:8" x14ac:dyDescent="0.25">
      <c r="A113" s="3"/>
      <c r="B113" s="1" t="s">
        <v>979</v>
      </c>
      <c r="C113" t="s">
        <v>1004</v>
      </c>
      <c r="D113" t="s">
        <v>223</v>
      </c>
    </row>
    <row r="114" spans="1:8" x14ac:dyDescent="0.25">
      <c r="A114" s="3"/>
      <c r="B114" s="1" t="s">
        <v>40</v>
      </c>
      <c r="C114" t="s">
        <v>81</v>
      </c>
      <c r="D114" t="s">
        <v>489</v>
      </c>
      <c r="E114" s="1">
        <f>1/3*100</f>
        <v>33.333333333333329</v>
      </c>
      <c r="F114" s="1">
        <f>15*100</f>
        <v>1500</v>
      </c>
      <c r="G114" s="1" t="s">
        <v>1041</v>
      </c>
      <c r="H114" s="1"/>
    </row>
    <row r="115" spans="1:8" x14ac:dyDescent="0.25">
      <c r="A115" s="3"/>
      <c r="B115" s="1" t="s">
        <v>39</v>
      </c>
      <c r="C115" t="s">
        <v>80</v>
      </c>
      <c r="D115" t="s">
        <v>489</v>
      </c>
    </row>
    <row r="116" spans="1:8" x14ac:dyDescent="0.25">
      <c r="A116" s="3"/>
      <c r="B116" s="1" t="s">
        <v>976</v>
      </c>
      <c r="C116" t="s">
        <v>999</v>
      </c>
      <c r="D116" t="s">
        <v>489</v>
      </c>
    </row>
    <row r="117" spans="1:8" x14ac:dyDescent="0.25">
      <c r="A117" s="19"/>
      <c r="B117" s="1" t="s">
        <v>188</v>
      </c>
      <c r="C117" t="s">
        <v>190</v>
      </c>
      <c r="D117" t="s">
        <v>866</v>
      </c>
    </row>
    <row r="118" spans="1:8" x14ac:dyDescent="0.25">
      <c r="A118" s="19"/>
      <c r="B118" s="1" t="s">
        <v>187</v>
      </c>
      <c r="C118" t="s">
        <v>189</v>
      </c>
      <c r="D118" t="s">
        <v>866</v>
      </c>
    </row>
    <row r="119" spans="1:8" x14ac:dyDescent="0.25">
      <c r="A119" s="19"/>
      <c r="B119" s="1" t="s">
        <v>980</v>
      </c>
      <c r="C119" t="s">
        <v>1003</v>
      </c>
      <c r="D119" t="s">
        <v>866</v>
      </c>
    </row>
    <row r="120" spans="1:8" x14ac:dyDescent="0.25">
      <c r="A120" s="19"/>
      <c r="B120" s="1" t="s">
        <v>432</v>
      </c>
      <c r="C120" t="s">
        <v>861</v>
      </c>
    </row>
    <row r="121" spans="1:8" x14ac:dyDescent="0.25">
      <c r="A121" s="19"/>
      <c r="B121" s="1" t="s">
        <v>431</v>
      </c>
      <c r="C121" t="s">
        <v>860</v>
      </c>
    </row>
    <row r="122" spans="1:8" x14ac:dyDescent="0.25">
      <c r="A122" s="19"/>
      <c r="B122" s="1" t="s">
        <v>981</v>
      </c>
      <c r="C122" t="s">
        <v>1005</v>
      </c>
    </row>
    <row r="123" spans="1:8" x14ac:dyDescent="0.25">
      <c r="A123" s="19"/>
      <c r="B123" s="1" t="s">
        <v>959</v>
      </c>
      <c r="C123" t="s">
        <v>1311</v>
      </c>
      <c r="D123" t="s">
        <v>1695</v>
      </c>
    </row>
    <row r="124" spans="1:8" x14ac:dyDescent="0.25">
      <c r="A124" s="19"/>
      <c r="B124" s="1" t="s">
        <v>956</v>
      </c>
      <c r="C124" t="s">
        <v>1312</v>
      </c>
      <c r="D124" t="s">
        <v>1695</v>
      </c>
    </row>
    <row r="125" spans="1:8" x14ac:dyDescent="0.25">
      <c r="A125" s="19"/>
      <c r="B125" s="1" t="s">
        <v>958</v>
      </c>
      <c r="C125" t="s">
        <v>1313</v>
      </c>
      <c r="D125" t="s">
        <v>1695</v>
      </c>
    </row>
    <row r="126" spans="1:8" x14ac:dyDescent="0.25">
      <c r="A126" s="19"/>
      <c r="B126" s="1" t="s">
        <v>122</v>
      </c>
      <c r="C126" t="s">
        <v>124</v>
      </c>
      <c r="D126" t="s">
        <v>491</v>
      </c>
    </row>
    <row r="127" spans="1:8" x14ac:dyDescent="0.25">
      <c r="A127" s="19"/>
      <c r="B127" s="1" t="s">
        <v>121</v>
      </c>
      <c r="C127" t="s">
        <v>123</v>
      </c>
      <c r="D127" t="s">
        <v>491</v>
      </c>
    </row>
    <row r="128" spans="1:8" x14ac:dyDescent="0.25">
      <c r="A128" s="19"/>
      <c r="B128" s="1" t="s">
        <v>982</v>
      </c>
      <c r="C128" t="s">
        <v>1006</v>
      </c>
      <c r="D128" t="s">
        <v>491</v>
      </c>
    </row>
    <row r="129" spans="1:4" x14ac:dyDescent="0.25">
      <c r="A129" s="19"/>
      <c r="B129" s="1" t="s">
        <v>126</v>
      </c>
      <c r="C129" t="s">
        <v>128</v>
      </c>
      <c r="D129" t="s">
        <v>754</v>
      </c>
    </row>
    <row r="130" spans="1:4" x14ac:dyDescent="0.25">
      <c r="A130" s="19"/>
      <c r="B130" s="1" t="s">
        <v>125</v>
      </c>
      <c r="C130" t="s">
        <v>127</v>
      </c>
      <c r="D130" t="s">
        <v>754</v>
      </c>
    </row>
    <row r="131" spans="1:4" x14ac:dyDescent="0.25">
      <c r="A131" s="19"/>
      <c r="B131" s="1" t="s">
        <v>986</v>
      </c>
      <c r="C131" t="s">
        <v>1007</v>
      </c>
      <c r="D131" t="s">
        <v>754</v>
      </c>
    </row>
    <row r="132" spans="1:4" x14ac:dyDescent="0.25">
      <c r="A132" s="19"/>
      <c r="B132" s="1" t="s">
        <v>1597</v>
      </c>
      <c r="C132" t="s">
        <v>1614</v>
      </c>
    </row>
    <row r="133" spans="1:4" x14ac:dyDescent="0.25">
      <c r="A133" s="19"/>
      <c r="B133" s="1" t="s">
        <v>1598</v>
      </c>
      <c r="C133" t="s">
        <v>1615</v>
      </c>
    </row>
    <row r="134" spans="1:4" x14ac:dyDescent="0.25">
      <c r="A134" s="19"/>
      <c r="B134" s="1" t="s">
        <v>1616</v>
      </c>
      <c r="C134" t="s">
        <v>1617</v>
      </c>
    </row>
    <row r="135" spans="1:4" x14ac:dyDescent="0.25">
      <c r="A135" s="19"/>
      <c r="B135" s="1" t="s">
        <v>130</v>
      </c>
      <c r="C135" t="s">
        <v>136</v>
      </c>
    </row>
    <row r="136" spans="1:4" x14ac:dyDescent="0.25">
      <c r="A136" s="19"/>
      <c r="B136" s="1" t="s">
        <v>129</v>
      </c>
      <c r="C136" t="s">
        <v>134</v>
      </c>
    </row>
    <row r="137" spans="1:4" x14ac:dyDescent="0.25">
      <c r="A137" s="19"/>
      <c r="B137" s="1" t="s">
        <v>983</v>
      </c>
      <c r="C137" t="s">
        <v>135</v>
      </c>
    </row>
    <row r="138" spans="1:4" x14ac:dyDescent="0.25">
      <c r="A138" s="19"/>
      <c r="B138" s="1" t="s">
        <v>132</v>
      </c>
      <c r="C138" t="s">
        <v>138</v>
      </c>
      <c r="D138" t="s">
        <v>238</v>
      </c>
    </row>
    <row r="139" spans="1:4" x14ac:dyDescent="0.25">
      <c r="A139" s="19"/>
      <c r="B139" s="1" t="s">
        <v>131</v>
      </c>
      <c r="C139" t="s">
        <v>137</v>
      </c>
      <c r="D139" t="s">
        <v>238</v>
      </c>
    </row>
    <row r="140" spans="1:4" x14ac:dyDescent="0.25">
      <c r="A140" s="19"/>
      <c r="B140" s="1" t="s">
        <v>984</v>
      </c>
      <c r="C140" t="s">
        <v>1008</v>
      </c>
      <c r="D140" t="s">
        <v>238</v>
      </c>
    </row>
    <row r="141" spans="1:4" x14ac:dyDescent="0.25">
      <c r="A141" s="19"/>
      <c r="B141" s="1" t="s">
        <v>1600</v>
      </c>
      <c r="C141" t="s">
        <v>1618</v>
      </c>
    </row>
    <row r="142" spans="1:4" x14ac:dyDescent="0.25">
      <c r="A142" s="19"/>
      <c r="B142" s="1" t="s">
        <v>1601</v>
      </c>
      <c r="C142" t="s">
        <v>1619</v>
      </c>
    </row>
    <row r="143" spans="1:4" x14ac:dyDescent="0.25">
      <c r="A143" s="19"/>
      <c r="B143" s="1" t="s">
        <v>1620</v>
      </c>
      <c r="C143" t="s">
        <v>1621</v>
      </c>
    </row>
    <row r="144" spans="1:4" x14ac:dyDescent="0.25">
      <c r="A144" s="19"/>
      <c r="B144" s="1" t="s">
        <v>1603</v>
      </c>
      <c r="C144" t="s">
        <v>1622</v>
      </c>
    </row>
    <row r="145" spans="1:4" x14ac:dyDescent="0.25">
      <c r="A145" s="19"/>
      <c r="B145" s="1" t="s">
        <v>1604</v>
      </c>
      <c r="C145" t="s">
        <v>1623</v>
      </c>
    </row>
    <row r="146" spans="1:4" x14ac:dyDescent="0.25">
      <c r="A146" s="19"/>
      <c r="B146" s="1" t="s">
        <v>1624</v>
      </c>
      <c r="C146" t="s">
        <v>1625</v>
      </c>
    </row>
    <row r="147" spans="1:4" x14ac:dyDescent="0.25">
      <c r="A147" s="19"/>
      <c r="B147" s="1" t="s">
        <v>196</v>
      </c>
      <c r="C147" t="s">
        <v>140</v>
      </c>
      <c r="D147" t="s">
        <v>197</v>
      </c>
    </row>
    <row r="148" spans="1:4" x14ac:dyDescent="0.25">
      <c r="A148" s="19"/>
      <c r="B148" s="1" t="s">
        <v>133</v>
      </c>
      <c r="C148" t="s">
        <v>139</v>
      </c>
      <c r="D148" t="s">
        <v>197</v>
      </c>
    </row>
    <row r="149" spans="1:4" x14ac:dyDescent="0.25">
      <c r="A149" s="19"/>
      <c r="B149" s="1" t="s">
        <v>985</v>
      </c>
      <c r="C149" t="s">
        <v>1009</v>
      </c>
      <c r="D149" t="s">
        <v>197</v>
      </c>
    </row>
    <row r="150" spans="1:4" x14ac:dyDescent="0.25">
      <c r="A150" s="19"/>
      <c r="B150" s="1" t="s">
        <v>1314</v>
      </c>
      <c r="C150" t="s">
        <v>1317</v>
      </c>
      <c r="D150" t="s">
        <v>197</v>
      </c>
    </row>
    <row r="151" spans="1:4" x14ac:dyDescent="0.25">
      <c r="A151" s="19"/>
      <c r="B151" s="1" t="s">
        <v>1315</v>
      </c>
      <c r="C151" t="s">
        <v>1318</v>
      </c>
      <c r="D151" t="s">
        <v>197</v>
      </c>
    </row>
    <row r="152" spans="1:4" x14ac:dyDescent="0.25">
      <c r="A152" s="19"/>
      <c r="B152" s="1" t="s">
        <v>1316</v>
      </c>
      <c r="C152" t="s">
        <v>1319</v>
      </c>
      <c r="D152" t="s">
        <v>197</v>
      </c>
    </row>
    <row r="153" spans="1:4" s="14" customFormat="1" x14ac:dyDescent="0.25">
      <c r="A153" s="19"/>
      <c r="B153" s="15" t="s">
        <v>1380</v>
      </c>
      <c r="C153" s="14" t="s">
        <v>1381</v>
      </c>
    </row>
    <row r="154" spans="1:4" x14ac:dyDescent="0.25">
      <c r="A154" s="19"/>
      <c r="B154" s="1" t="s">
        <v>1607</v>
      </c>
      <c r="C154" t="s">
        <v>1626</v>
      </c>
    </row>
    <row r="155" spans="1:4" x14ac:dyDescent="0.25">
      <c r="A155" s="19"/>
      <c r="B155" s="1" t="s">
        <v>1606</v>
      </c>
      <c r="C155" t="s">
        <v>1627</v>
      </c>
    </row>
    <row r="156" spans="1:4" x14ac:dyDescent="0.25">
      <c r="A156" s="13"/>
      <c r="B156" s="1" t="s">
        <v>1010</v>
      </c>
      <c r="C156" t="s">
        <v>1011</v>
      </c>
    </row>
    <row r="157" spans="1:4" x14ac:dyDescent="0.25">
      <c r="A157" s="13"/>
      <c r="B157" s="1" t="s">
        <v>848</v>
      </c>
      <c r="C157" t="s">
        <v>856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workbookViewId="0">
      <selection activeCell="K44" sqref="K44"/>
    </sheetView>
  </sheetViews>
  <sheetFormatPr defaultRowHeight="15" x14ac:dyDescent="0.25"/>
  <cols>
    <col min="2" max="2" width="22.42578125" customWidth="1"/>
    <col min="3" max="3" width="15.85546875" style="34" bestFit="1" customWidth="1"/>
    <col min="4" max="4" width="9.28515625" style="34" bestFit="1" customWidth="1"/>
    <col min="5" max="5" width="12.42578125" style="34" customWidth="1"/>
    <col min="6" max="6" width="10.28515625" customWidth="1"/>
    <col min="7" max="7" width="13.140625" customWidth="1"/>
    <col min="9" max="9" width="12" bestFit="1" customWidth="1"/>
    <col min="12" max="12" width="11" bestFit="1" customWidth="1"/>
    <col min="13" max="14" width="10" bestFit="1" customWidth="1"/>
  </cols>
  <sheetData>
    <row r="1" spans="2:8" x14ac:dyDescent="0.25">
      <c r="B1" s="5"/>
      <c r="C1" s="32"/>
      <c r="D1" s="32"/>
      <c r="E1" s="32"/>
      <c r="F1" s="5"/>
      <c r="G1" s="5"/>
      <c r="H1" s="5"/>
    </row>
    <row r="2" spans="2:8" x14ac:dyDescent="0.25">
      <c r="B2" s="5"/>
      <c r="C2" s="32"/>
      <c r="D2" s="32"/>
      <c r="E2" s="32"/>
      <c r="F2" s="5"/>
      <c r="G2" s="5"/>
      <c r="H2" s="5"/>
    </row>
    <row r="3" spans="2:8" x14ac:dyDescent="0.25">
      <c r="B3" s="6" t="s">
        <v>108</v>
      </c>
      <c r="C3" s="32"/>
      <c r="D3" s="32"/>
      <c r="E3" s="32"/>
      <c r="F3" s="5"/>
      <c r="G3" s="5"/>
      <c r="H3" s="5"/>
    </row>
    <row r="4" spans="2:8" x14ac:dyDescent="0.25">
      <c r="B4" s="8" t="s">
        <v>105</v>
      </c>
      <c r="C4" s="33" t="s">
        <v>97</v>
      </c>
      <c r="D4" s="33" t="s">
        <v>98</v>
      </c>
      <c r="E4" s="33" t="s">
        <v>99</v>
      </c>
      <c r="F4" s="8" t="s">
        <v>43</v>
      </c>
      <c r="G4" s="5"/>
      <c r="H4" s="5"/>
    </row>
    <row r="5" spans="2:8" x14ac:dyDescent="0.25">
      <c r="B5" s="9" t="s">
        <v>100</v>
      </c>
      <c r="C5" s="28" t="s">
        <v>101</v>
      </c>
      <c r="D5" s="28">
        <v>1</v>
      </c>
      <c r="E5" s="28" t="s">
        <v>102</v>
      </c>
      <c r="F5" s="5" t="s">
        <v>110</v>
      </c>
      <c r="G5" s="5"/>
      <c r="H5" s="5"/>
    </row>
    <row r="6" spans="2:8" x14ac:dyDescent="0.25">
      <c r="B6" s="9" t="s">
        <v>103</v>
      </c>
      <c r="C6" s="28" t="s">
        <v>101</v>
      </c>
      <c r="D6" s="28">
        <v>1</v>
      </c>
      <c r="E6" s="28" t="s">
        <v>102</v>
      </c>
      <c r="F6" s="5" t="s">
        <v>117</v>
      </c>
      <c r="G6" s="5"/>
      <c r="H6" s="5"/>
    </row>
    <row r="7" spans="2:8" x14ac:dyDescent="0.25">
      <c r="B7" s="9" t="s">
        <v>801</v>
      </c>
      <c r="C7" s="28">
        <f>100/300</f>
        <v>0.33333333333333331</v>
      </c>
      <c r="D7" s="28"/>
      <c r="E7" s="28"/>
      <c r="F7" s="5" t="s">
        <v>846</v>
      </c>
      <c r="G7" s="5" t="s">
        <v>552</v>
      </c>
      <c r="H7" s="5"/>
    </row>
    <row r="8" spans="2:8" x14ac:dyDescent="0.25">
      <c r="B8" s="9"/>
      <c r="C8" s="28"/>
      <c r="D8" s="28"/>
      <c r="E8" s="28"/>
      <c r="F8" s="5"/>
      <c r="G8" s="5"/>
      <c r="H8" s="5"/>
    </row>
    <row r="9" spans="2:8" x14ac:dyDescent="0.25">
      <c r="B9" s="9" t="s">
        <v>236</v>
      </c>
      <c r="C9" s="28"/>
      <c r="D9" s="28"/>
      <c r="E9" s="28"/>
      <c r="F9" s="5"/>
      <c r="G9" s="5"/>
      <c r="H9" s="5"/>
    </row>
    <row r="10" spans="2:8" x14ac:dyDescent="0.25">
      <c r="B10" s="5"/>
      <c r="C10" s="32"/>
      <c r="D10" s="32"/>
      <c r="E10" s="32"/>
      <c r="F10" s="5"/>
      <c r="G10" s="5"/>
      <c r="H10" s="5"/>
    </row>
    <row r="11" spans="2:8" x14ac:dyDescent="0.25">
      <c r="B11" s="5"/>
      <c r="C11" s="32"/>
      <c r="D11" s="32"/>
      <c r="E11" s="32"/>
      <c r="F11" s="5"/>
      <c r="G11" s="5"/>
      <c r="H11" s="5"/>
    </row>
    <row r="12" spans="2:8" x14ac:dyDescent="0.25">
      <c r="B12" s="5"/>
      <c r="C12" s="32"/>
      <c r="D12" s="32"/>
      <c r="E12" s="32"/>
      <c r="F12" s="5"/>
      <c r="G12" s="5"/>
      <c r="H12" s="5"/>
    </row>
    <row r="13" spans="2:8" x14ac:dyDescent="0.25">
      <c r="B13" s="6" t="s">
        <v>109</v>
      </c>
      <c r="C13" s="32"/>
      <c r="D13" s="32"/>
      <c r="E13" s="32"/>
      <c r="F13" s="5"/>
      <c r="G13" s="5"/>
      <c r="H13" s="5"/>
    </row>
    <row r="14" spans="2:8" x14ac:dyDescent="0.25">
      <c r="B14" s="8" t="s">
        <v>105</v>
      </c>
      <c r="C14" s="33" t="s">
        <v>97</v>
      </c>
      <c r="D14" s="33" t="s">
        <v>104</v>
      </c>
      <c r="E14" s="33" t="s">
        <v>100</v>
      </c>
      <c r="F14" s="8" t="s">
        <v>43</v>
      </c>
      <c r="G14" s="5"/>
      <c r="H14" s="5"/>
    </row>
    <row r="15" spans="2:8" x14ac:dyDescent="0.25">
      <c r="B15" s="9" t="s">
        <v>106</v>
      </c>
      <c r="C15" s="28">
        <v>1</v>
      </c>
      <c r="D15" s="28">
        <v>1</v>
      </c>
      <c r="E15" s="28">
        <v>1</v>
      </c>
      <c r="F15" s="5" t="s">
        <v>107</v>
      </c>
      <c r="G15" s="5"/>
      <c r="H15" s="5"/>
    </row>
    <row r="16" spans="2:8" x14ac:dyDescent="0.25">
      <c r="B16" s="9"/>
      <c r="C16" s="28"/>
      <c r="D16" s="28"/>
      <c r="E16" s="28"/>
      <c r="F16" s="5"/>
      <c r="G16" s="5"/>
      <c r="H16" s="5"/>
    </row>
    <row r="17" spans="2:17" x14ac:dyDescent="0.25">
      <c r="B17" s="9"/>
      <c r="C17" s="28"/>
      <c r="D17" s="28"/>
      <c r="E17" s="28"/>
      <c r="F17" s="5"/>
      <c r="G17" s="5"/>
      <c r="H17" s="5"/>
    </row>
    <row r="18" spans="2:17" x14ac:dyDescent="0.25">
      <c r="B18" s="9" t="s">
        <v>111</v>
      </c>
      <c r="C18" s="28"/>
      <c r="D18" s="28"/>
      <c r="E18" s="28"/>
      <c r="F18" s="5"/>
      <c r="G18" s="5"/>
      <c r="H18" s="5"/>
    </row>
    <row r="21" spans="2:17" x14ac:dyDescent="0.25">
      <c r="B21" s="1" t="s">
        <v>1724</v>
      </c>
    </row>
    <row r="22" spans="2:17" x14ac:dyDescent="0.25">
      <c r="B22" s="8" t="s">
        <v>105</v>
      </c>
      <c r="C22" s="33" t="s">
        <v>97</v>
      </c>
      <c r="D22" s="33" t="s">
        <v>104</v>
      </c>
      <c r="E22" s="33" t="s">
        <v>232</v>
      </c>
      <c r="F22" s="8" t="s">
        <v>43</v>
      </c>
      <c r="G22" s="5"/>
      <c r="M22" s="143"/>
      <c r="N22" s="142"/>
      <c r="O22" s="142"/>
      <c r="P22" s="142"/>
      <c r="Q22" s="144"/>
    </row>
    <row r="23" spans="2:17" x14ac:dyDescent="0.25">
      <c r="B23" s="9" t="s">
        <v>231</v>
      </c>
      <c r="C23" s="28">
        <v>10</v>
      </c>
      <c r="D23" s="28">
        <v>1</v>
      </c>
      <c r="E23" s="28">
        <f>C23*D23</f>
        <v>10</v>
      </c>
      <c r="F23" s="5" t="s">
        <v>233</v>
      </c>
      <c r="G23" s="5"/>
      <c r="M23" s="145"/>
      <c r="N23" s="146"/>
      <c r="O23" s="146"/>
      <c r="P23" s="146"/>
      <c r="Q23" s="144"/>
    </row>
    <row r="24" spans="2:17" x14ac:dyDescent="0.25">
      <c r="B24" s="9" t="s">
        <v>234</v>
      </c>
      <c r="C24" s="28">
        <v>1000</v>
      </c>
      <c r="D24" s="28">
        <v>1</v>
      </c>
      <c r="E24" s="28">
        <f>C24*D24</f>
        <v>1000</v>
      </c>
      <c r="F24" s="5" t="s">
        <v>235</v>
      </c>
      <c r="G24" s="5"/>
      <c r="M24" s="141"/>
      <c r="N24" s="147"/>
      <c r="O24" s="147"/>
      <c r="P24" s="147"/>
      <c r="Q24" s="144"/>
    </row>
    <row r="25" spans="2:17" x14ac:dyDescent="0.25">
      <c r="B25" s="9" t="s">
        <v>263</v>
      </c>
      <c r="C25" s="28">
        <v>1000</v>
      </c>
      <c r="D25" s="28">
        <v>1</v>
      </c>
      <c r="E25" s="28">
        <f>C25*D25</f>
        <v>1000</v>
      </c>
      <c r="F25" s="5"/>
      <c r="G25" s="5"/>
      <c r="M25" s="141"/>
      <c r="N25" s="147"/>
      <c r="O25" s="147"/>
      <c r="P25" s="147"/>
      <c r="Q25" s="144"/>
    </row>
    <row r="26" spans="2:17" x14ac:dyDescent="0.25">
      <c r="B26" s="9" t="s">
        <v>1725</v>
      </c>
      <c r="C26" s="28">
        <f>0.4536/0.4047</f>
        <v>1.1208302446256486</v>
      </c>
      <c r="D26" s="28">
        <v>1</v>
      </c>
      <c r="E26" s="28"/>
      <c r="F26" s="5" t="s">
        <v>1726</v>
      </c>
      <c r="G26" s="5"/>
      <c r="H26" t="s">
        <v>1727</v>
      </c>
      <c r="M26" s="141"/>
      <c r="N26" s="147"/>
      <c r="O26" s="147"/>
      <c r="P26" s="147"/>
      <c r="Q26" s="144"/>
    </row>
    <row r="27" spans="2:17" x14ac:dyDescent="0.25">
      <c r="B27" s="9"/>
      <c r="C27" s="28"/>
      <c r="D27" s="28"/>
      <c r="E27" s="28"/>
      <c r="F27" s="5"/>
      <c r="G27" s="5"/>
      <c r="M27" s="141"/>
      <c r="N27" s="147"/>
      <c r="O27" s="147"/>
      <c r="P27" s="147"/>
      <c r="Q27" s="144"/>
    </row>
    <row r="28" spans="2:17" x14ac:dyDescent="0.25">
      <c r="B28" s="9" t="s">
        <v>236</v>
      </c>
      <c r="C28" s="45"/>
      <c r="D28" s="45"/>
      <c r="E28" s="45"/>
      <c r="M28" s="141"/>
      <c r="N28" s="147"/>
      <c r="O28" s="147"/>
      <c r="P28" s="147"/>
      <c r="Q28" s="144"/>
    </row>
    <row r="29" spans="2:17" x14ac:dyDescent="0.25">
      <c r="B29" s="141"/>
      <c r="C29" s="142"/>
      <c r="D29" s="142"/>
      <c r="E29" s="142"/>
      <c r="M29" s="141"/>
      <c r="N29" s="147"/>
      <c r="O29" s="147"/>
      <c r="P29" s="147"/>
      <c r="Q29" s="144"/>
    </row>
    <row r="30" spans="2:17" x14ac:dyDescent="0.25">
      <c r="B30" s="21"/>
      <c r="M30" s="144"/>
      <c r="N30" s="144"/>
      <c r="O30" s="144"/>
      <c r="P30" s="144"/>
      <c r="Q30" s="144"/>
    </row>
    <row r="32" spans="2:17" x14ac:dyDescent="0.25">
      <c r="B32" s="1" t="s">
        <v>211</v>
      </c>
    </row>
    <row r="33" spans="2:15" x14ac:dyDescent="0.25">
      <c r="B33" s="8" t="s">
        <v>105</v>
      </c>
      <c r="C33" s="33" t="s">
        <v>97</v>
      </c>
      <c r="D33" s="33" t="s">
        <v>104</v>
      </c>
      <c r="E33" s="33" t="s">
        <v>212</v>
      </c>
    </row>
    <row r="34" spans="2:15" x14ac:dyDescent="0.25">
      <c r="B34" s="9" t="s">
        <v>213</v>
      </c>
      <c r="C34" s="28">
        <v>0.1</v>
      </c>
      <c r="D34" s="28">
        <v>1</v>
      </c>
      <c r="E34" s="28">
        <f>D34*C34</f>
        <v>0.1</v>
      </c>
      <c r="F34" t="s">
        <v>220</v>
      </c>
      <c r="M34" t="s">
        <v>715</v>
      </c>
      <c r="N34" t="s">
        <v>716</v>
      </c>
    </row>
    <row r="35" spans="2:15" x14ac:dyDescent="0.25">
      <c r="B35" s="9" t="s">
        <v>263</v>
      </c>
      <c r="C35" s="28">
        <f>1000/1627500*100</f>
        <v>6.1443932411674347E-2</v>
      </c>
      <c r="D35" s="28">
        <v>1</v>
      </c>
      <c r="E35" s="28">
        <f>D35*C35</f>
        <v>6.1443932411674347E-2</v>
      </c>
      <c r="F35" t="s">
        <v>713</v>
      </c>
      <c r="I35" t="s">
        <v>345</v>
      </c>
      <c r="M35">
        <f>(100*100*0.1*1.37)</f>
        <v>1370</v>
      </c>
      <c r="N35">
        <f>M35*1000</f>
        <v>1370000</v>
      </c>
    </row>
    <row r="36" spans="2:15" x14ac:dyDescent="0.25">
      <c r="B36" s="9" t="s">
        <v>232</v>
      </c>
      <c r="C36" s="48">
        <f>1/N35*100</f>
        <v>7.2992700729927014E-5</v>
      </c>
      <c r="D36" s="28">
        <v>1</v>
      </c>
      <c r="E36" s="28">
        <f t="shared" ref="E36:E37" si="0">D36*C36</f>
        <v>7.2992700729927014E-5</v>
      </c>
      <c r="F36" t="s">
        <v>714</v>
      </c>
    </row>
    <row r="37" spans="2:15" x14ac:dyDescent="0.25">
      <c r="B37" s="9" t="s">
        <v>1105</v>
      </c>
      <c r="C37" s="48">
        <f>1/M35*100</f>
        <v>7.2992700729927001E-2</v>
      </c>
      <c r="D37" s="28">
        <v>1</v>
      </c>
      <c r="E37" s="28">
        <f t="shared" si="0"/>
        <v>7.2992700729927001E-2</v>
      </c>
      <c r="F37" t="s">
        <v>714</v>
      </c>
      <c r="M37">
        <f>1/(100*100*0.05*1.35)*100</f>
        <v>0.14814814814814814</v>
      </c>
      <c r="N37">
        <f>1/(100*100*0.1*1.57)*100</f>
        <v>6.3694267515923567E-2</v>
      </c>
      <c r="O37">
        <f>1/(100*100*0.15*1.59)*100</f>
        <v>4.1928721174004188E-2</v>
      </c>
    </row>
    <row r="38" spans="2:15" x14ac:dyDescent="0.25">
      <c r="B38" s="9" t="s">
        <v>1227</v>
      </c>
      <c r="C38" s="48">
        <v>0.1</v>
      </c>
      <c r="D38" s="28">
        <v>1</v>
      </c>
      <c r="E38" s="28">
        <f>D38*C38</f>
        <v>0.1</v>
      </c>
      <c r="M38">
        <f>1/(100*100*0.05*1.39)*100</f>
        <v>0.14388489208633093</v>
      </c>
      <c r="N38">
        <f>1/(100*100*0.1*1.62)*100</f>
        <v>6.1728395061728392E-2</v>
      </c>
      <c r="O38">
        <f>1/(100*100*0.15*1.57)*100</f>
        <v>4.2462845010615716E-2</v>
      </c>
    </row>
    <row r="39" spans="2:15" x14ac:dyDescent="0.25">
      <c r="B39" s="9" t="s">
        <v>236</v>
      </c>
      <c r="C39" s="45"/>
      <c r="D39" s="45"/>
      <c r="E39" s="45"/>
    </row>
    <row r="41" spans="2:15" x14ac:dyDescent="0.25">
      <c r="B41" s="1" t="s">
        <v>1306</v>
      </c>
      <c r="J41" t="s">
        <v>1352</v>
      </c>
      <c r="K41" t="s">
        <v>1353</v>
      </c>
    </row>
    <row r="42" spans="2:15" x14ac:dyDescent="0.25">
      <c r="B42" s="8" t="s">
        <v>105</v>
      </c>
      <c r="C42" s="33" t="s">
        <v>97</v>
      </c>
      <c r="D42" s="33" t="s">
        <v>104</v>
      </c>
      <c r="E42" s="33" t="s">
        <v>304</v>
      </c>
      <c r="I42" t="s">
        <v>390</v>
      </c>
      <c r="J42" t="s">
        <v>391</v>
      </c>
      <c r="K42" t="s">
        <v>391</v>
      </c>
    </row>
    <row r="43" spans="2:15" x14ac:dyDescent="0.25">
      <c r="B43" s="9" t="s">
        <v>232</v>
      </c>
      <c r="C43" s="28">
        <f>1000000/K43</f>
        <v>5.6003584229390682E-2</v>
      </c>
      <c r="D43" s="28">
        <v>1</v>
      </c>
      <c r="E43" s="28">
        <f>D43*C43</f>
        <v>5.6003584229390682E-2</v>
      </c>
      <c r="I43">
        <f>100*100*0.6*1.5</f>
        <v>9000</v>
      </c>
      <c r="J43">
        <f>I43*1000</f>
        <v>9000000</v>
      </c>
      <c r="K43">
        <f>100*100*1.2*1.488*1000</f>
        <v>17856000</v>
      </c>
    </row>
    <row r="44" spans="2:15" x14ac:dyDescent="0.25">
      <c r="B44" s="9" t="s">
        <v>212</v>
      </c>
      <c r="C44" s="28">
        <v>10000</v>
      </c>
      <c r="D44" s="28">
        <v>1</v>
      </c>
      <c r="E44" s="28">
        <f t="shared" ref="E44:E45" si="1">D44*C44</f>
        <v>10000</v>
      </c>
      <c r="F44" t="s">
        <v>411</v>
      </c>
      <c r="G44" t="s">
        <v>412</v>
      </c>
      <c r="H44" t="s">
        <v>413</v>
      </c>
    </row>
    <row r="45" spans="2:15" x14ac:dyDescent="0.25">
      <c r="B45" s="9" t="s">
        <v>213</v>
      </c>
      <c r="C45" s="28">
        <v>1000</v>
      </c>
      <c r="D45" s="28">
        <v>1</v>
      </c>
      <c r="E45" s="28">
        <f t="shared" si="1"/>
        <v>1000</v>
      </c>
    </row>
    <row r="46" spans="2:15" x14ac:dyDescent="0.25">
      <c r="B46" s="9" t="s">
        <v>415</v>
      </c>
      <c r="C46" s="28">
        <v>1</v>
      </c>
      <c r="D46" s="28">
        <v>1</v>
      </c>
      <c r="E46" s="28">
        <f t="shared" ref="E46" si="2">D46*C46</f>
        <v>1</v>
      </c>
      <c r="F46" t="s">
        <v>416</v>
      </c>
    </row>
    <row r="47" spans="2:15" x14ac:dyDescent="0.25">
      <c r="B47" s="9" t="s">
        <v>482</v>
      </c>
      <c r="C47" s="28">
        <v>1</v>
      </c>
      <c r="D47" s="28">
        <v>1</v>
      </c>
      <c r="E47" s="28">
        <f t="shared" ref="E47" si="3">D47*C47</f>
        <v>1</v>
      </c>
    </row>
    <row r="48" spans="2:15" x14ac:dyDescent="0.25">
      <c r="B48" s="9" t="s">
        <v>231</v>
      </c>
      <c r="C48" s="28">
        <f>1000/G48</f>
        <v>1.5220700152207001</v>
      </c>
      <c r="D48" s="28">
        <v>1</v>
      </c>
      <c r="E48" s="28">
        <f t="shared" ref="E48" si="4">D48*C48</f>
        <v>1.5220700152207001</v>
      </c>
      <c r="F48" t="s">
        <v>1295</v>
      </c>
      <c r="G48">
        <f>1.46*100*100*45/1000</f>
        <v>657</v>
      </c>
      <c r="I48" s="1" t="s">
        <v>1293</v>
      </c>
    </row>
    <row r="49" spans="2:14" x14ac:dyDescent="0.25">
      <c r="B49" s="9" t="s">
        <v>236</v>
      </c>
      <c r="C49" s="45"/>
      <c r="D49" s="45"/>
      <c r="E49" s="45"/>
    </row>
    <row r="51" spans="2:14" x14ac:dyDescent="0.25">
      <c r="B51" s="1" t="s">
        <v>303</v>
      </c>
    </row>
    <row r="52" spans="2:14" x14ac:dyDescent="0.25">
      <c r="B52" s="8" t="s">
        <v>250</v>
      </c>
      <c r="C52" s="33" t="s">
        <v>97</v>
      </c>
      <c r="D52" s="33" t="s">
        <v>104</v>
      </c>
      <c r="E52" s="33" t="s">
        <v>251</v>
      </c>
    </row>
    <row r="53" spans="2:14" x14ac:dyDescent="0.25">
      <c r="B53" s="9" t="s">
        <v>788</v>
      </c>
      <c r="C53" s="28">
        <f>1/22.7273</f>
        <v>4.3999947200063359E-2</v>
      </c>
      <c r="D53" s="28">
        <v>1</v>
      </c>
      <c r="E53" s="28">
        <f>D53*C53</f>
        <v>4.3999947200063359E-2</v>
      </c>
      <c r="F53" t="s">
        <v>252</v>
      </c>
      <c r="G53" t="s">
        <v>789</v>
      </c>
      <c r="I53">
        <f>1/1000000*44*1000</f>
        <v>4.3999999999999997E-2</v>
      </c>
    </row>
    <row r="54" spans="2:14" x14ac:dyDescent="0.25">
      <c r="B54" s="9" t="s">
        <v>302</v>
      </c>
      <c r="C54" s="28">
        <v>4.3999999999999997E-2</v>
      </c>
      <c r="D54" s="28">
        <v>1</v>
      </c>
      <c r="E54" s="28">
        <f t="shared" ref="E54:E56" si="5">D54*C54</f>
        <v>4.3999999999999997E-2</v>
      </c>
      <c r="F54" t="s">
        <v>790</v>
      </c>
      <c r="I54">
        <f>1/1000000000*44*1000*1000</f>
        <v>4.4000000000000004E-2</v>
      </c>
    </row>
    <row r="55" spans="2:14" x14ac:dyDescent="0.25">
      <c r="B55" s="9" t="s">
        <v>341</v>
      </c>
      <c r="C55" s="28">
        <f>1000000/L55</f>
        <v>0.61443932411674351</v>
      </c>
      <c r="D55" s="28">
        <v>1</v>
      </c>
      <c r="E55" s="28">
        <f t="shared" si="5"/>
        <v>0.61443932411674351</v>
      </c>
      <c r="F55" t="s">
        <v>344</v>
      </c>
      <c r="H55" t="s">
        <v>350</v>
      </c>
      <c r="L55">
        <f>100*100*0.15*1.085*1000</f>
        <v>1627500</v>
      </c>
      <c r="N55" s="1" t="s">
        <v>393</v>
      </c>
    </row>
    <row r="56" spans="2:14" x14ac:dyDescent="0.25">
      <c r="B56" s="9" t="s">
        <v>399</v>
      </c>
      <c r="C56" s="28">
        <f>1/1000000*1000*1000</f>
        <v>1</v>
      </c>
      <c r="D56" s="28">
        <v>1</v>
      </c>
      <c r="E56" s="28">
        <f t="shared" si="5"/>
        <v>1</v>
      </c>
    </row>
    <row r="57" spans="2:14" x14ac:dyDescent="0.25">
      <c r="B57" s="9"/>
      <c r="C57" s="28"/>
      <c r="D57" s="28"/>
      <c r="E57" s="28"/>
    </row>
    <row r="58" spans="2:14" x14ac:dyDescent="0.25">
      <c r="B58" s="9" t="s">
        <v>236</v>
      </c>
      <c r="C58" s="45"/>
      <c r="D58" s="45"/>
      <c r="E58" s="45"/>
    </row>
    <row r="60" spans="2:14" x14ac:dyDescent="0.25">
      <c r="B60" s="1" t="s">
        <v>1382</v>
      </c>
    </row>
    <row r="61" spans="2:14" x14ac:dyDescent="0.25">
      <c r="B61" s="8" t="s">
        <v>250</v>
      </c>
      <c r="C61" s="33" t="s">
        <v>97</v>
      </c>
      <c r="D61" s="33" t="s">
        <v>104</v>
      </c>
      <c r="E61" s="33" t="s">
        <v>304</v>
      </c>
    </row>
    <row r="62" spans="2:14" x14ac:dyDescent="0.25">
      <c r="B62" s="9" t="s">
        <v>302</v>
      </c>
      <c r="C62" s="9">
        <f>1/1000000000*12*1000*1000</f>
        <v>1.2000000000000002E-2</v>
      </c>
      <c r="D62" s="28">
        <v>1</v>
      </c>
      <c r="E62" s="28">
        <f>C62*D62</f>
        <v>1.2000000000000002E-2</v>
      </c>
      <c r="F62" t="s">
        <v>783</v>
      </c>
      <c r="I62" t="s">
        <v>784</v>
      </c>
      <c r="J62" s="108" t="s">
        <v>786</v>
      </c>
    </row>
    <row r="63" spans="2:14" x14ac:dyDescent="0.25">
      <c r="B63" s="9" t="s">
        <v>778</v>
      </c>
      <c r="C63" s="9">
        <f>0.01*12*1000</f>
        <v>120</v>
      </c>
      <c r="D63" s="28">
        <v>1</v>
      </c>
      <c r="E63" s="28">
        <f>C63*D63</f>
        <v>120</v>
      </c>
      <c r="F63" t="s">
        <v>785</v>
      </c>
      <c r="J63" t="s">
        <v>782</v>
      </c>
    </row>
    <row r="64" spans="2:14" x14ac:dyDescent="0.25">
      <c r="B64" s="9" t="s">
        <v>232</v>
      </c>
      <c r="C64" s="28">
        <f>1000000/1627500</f>
        <v>0.61443932411674351</v>
      </c>
      <c r="D64" s="28">
        <v>1</v>
      </c>
      <c r="E64" s="28">
        <f>D64*C64</f>
        <v>0.61443932411674351</v>
      </c>
      <c r="F64" t="s">
        <v>393</v>
      </c>
      <c r="G64" t="s">
        <v>787</v>
      </c>
      <c r="H64">
        <f>100*100*0.15*1.085</f>
        <v>1627.5</v>
      </c>
    </row>
    <row r="65" spans="2:10" x14ac:dyDescent="0.25">
      <c r="B65" s="9" t="s">
        <v>212</v>
      </c>
      <c r="C65" s="48">
        <f>1000000/100</f>
        <v>10000</v>
      </c>
      <c r="D65" s="28">
        <v>1</v>
      </c>
      <c r="E65" s="28">
        <f>D65*C65</f>
        <v>10000</v>
      </c>
    </row>
    <row r="66" spans="2:10" x14ac:dyDescent="0.25">
      <c r="B66" s="9" t="s">
        <v>236</v>
      </c>
      <c r="C66" s="45"/>
      <c r="D66" s="45"/>
      <c r="E66" s="45"/>
      <c r="J66" s="66"/>
    </row>
    <row r="69" spans="2:10" x14ac:dyDescent="0.25">
      <c r="B69" s="1" t="s">
        <v>849</v>
      </c>
    </row>
    <row r="70" spans="2:10" x14ac:dyDescent="0.25">
      <c r="B70" s="8" t="s">
        <v>250</v>
      </c>
      <c r="C70" s="33" t="s">
        <v>97</v>
      </c>
      <c r="D70" s="33" t="s">
        <v>104</v>
      </c>
      <c r="E70" s="33" t="s">
        <v>795</v>
      </c>
    </row>
    <row r="71" spans="2:10" x14ac:dyDescent="0.25">
      <c r="B71" s="9" t="s">
        <v>302</v>
      </c>
      <c r="C71" s="9">
        <f>1/1000000000*12*1000*1000</f>
        <v>1.2000000000000002E-2</v>
      </c>
      <c r="D71" s="28">
        <v>1</v>
      </c>
      <c r="E71" s="28">
        <f>C71*D71</f>
        <v>1.2000000000000002E-2</v>
      </c>
      <c r="G71">
        <f>1/1000000000*12*1000000</f>
        <v>1.2000000000000002E-2</v>
      </c>
    </row>
    <row r="72" spans="2:10" x14ac:dyDescent="0.25">
      <c r="B72" s="9" t="s">
        <v>1260</v>
      </c>
      <c r="C72" s="9">
        <f>C71/1000</f>
        <v>1.2000000000000002E-5</v>
      </c>
      <c r="D72" s="28"/>
      <c r="E72" s="28"/>
    </row>
    <row r="73" spans="2:10" x14ac:dyDescent="0.25">
      <c r="B73" s="9"/>
      <c r="C73" s="28"/>
      <c r="D73" s="28"/>
      <c r="E73" s="28"/>
    </row>
    <row r="74" spans="2:10" x14ac:dyDescent="0.25">
      <c r="B74" s="9"/>
      <c r="C74" s="28"/>
      <c r="D74" s="28"/>
      <c r="E74" s="28"/>
    </row>
    <row r="75" spans="2:10" x14ac:dyDescent="0.25">
      <c r="B75" s="9" t="s">
        <v>236</v>
      </c>
      <c r="C75" s="45"/>
      <c r="D75" s="45"/>
      <c r="E75" s="45"/>
    </row>
    <row r="78" spans="2:10" x14ac:dyDescent="0.25">
      <c r="B78" s="1" t="s">
        <v>1113</v>
      </c>
    </row>
    <row r="79" spans="2:10" x14ac:dyDescent="0.25">
      <c r="B79" s="8" t="s">
        <v>250</v>
      </c>
      <c r="C79" s="33" t="s">
        <v>97</v>
      </c>
      <c r="D79" s="33" t="s">
        <v>104</v>
      </c>
      <c r="E79" s="33" t="s">
        <v>1136</v>
      </c>
    </row>
    <row r="80" spans="2:10" x14ac:dyDescent="0.25">
      <c r="B80" s="9" t="s">
        <v>1114</v>
      </c>
      <c r="C80" s="9">
        <f>3600/10</f>
        <v>360</v>
      </c>
      <c r="D80" s="28">
        <v>1</v>
      </c>
      <c r="E80" s="28">
        <f>C80*D80</f>
        <v>360</v>
      </c>
    </row>
    <row r="81" spans="2:5" x14ac:dyDescent="0.25">
      <c r="B81" s="9"/>
      <c r="C81" s="9"/>
      <c r="D81" s="28"/>
      <c r="E81" s="28"/>
    </row>
    <row r="82" spans="2:5" x14ac:dyDescent="0.25">
      <c r="B82" s="9"/>
      <c r="C82" s="28"/>
      <c r="D82" s="28"/>
      <c r="E82" s="28"/>
    </row>
    <row r="83" spans="2:5" x14ac:dyDescent="0.25">
      <c r="B83" s="9"/>
      <c r="C83" s="28"/>
      <c r="D83" s="28"/>
      <c r="E83" s="28"/>
    </row>
    <row r="84" spans="2:5" x14ac:dyDescent="0.25">
      <c r="B84" s="9" t="s">
        <v>236</v>
      </c>
      <c r="C84" s="45"/>
      <c r="D84" s="45"/>
      <c r="E84" s="45"/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2"/>
  <sheetViews>
    <sheetView workbookViewId="0">
      <selection activeCell="I32" sqref="I32"/>
    </sheetView>
  </sheetViews>
  <sheetFormatPr defaultRowHeight="15" x14ac:dyDescent="0.25"/>
  <cols>
    <col min="2" max="2" width="21" customWidth="1"/>
    <col min="6" max="6" width="11.42578125" customWidth="1"/>
    <col min="7" max="7" width="26.28515625" customWidth="1"/>
  </cols>
  <sheetData>
    <row r="3" spans="2:20" x14ac:dyDescent="0.25">
      <c r="B3" t="s">
        <v>305</v>
      </c>
    </row>
    <row r="5" spans="2:20" x14ac:dyDescent="0.25">
      <c r="B5" s="29" t="s">
        <v>105</v>
      </c>
      <c r="C5" s="29" t="s">
        <v>306</v>
      </c>
      <c r="D5" s="29" t="s">
        <v>307</v>
      </c>
      <c r="E5" s="29" t="s">
        <v>308</v>
      </c>
    </row>
    <row r="6" spans="2:20" x14ac:dyDescent="0.25">
      <c r="B6" s="30" t="s">
        <v>309</v>
      </c>
      <c r="C6" s="11">
        <f>1/12*10^6/24/60/60</f>
        <v>0.96450617283950613</v>
      </c>
      <c r="D6" s="10">
        <v>1</v>
      </c>
      <c r="E6" s="10">
        <f t="shared" ref="E6:E20" si="0">D6*C6</f>
        <v>0.96450617283950613</v>
      </c>
    </row>
    <row r="7" spans="2:20" x14ac:dyDescent="0.25">
      <c r="B7" s="30" t="s">
        <v>310</v>
      </c>
      <c r="C7" s="9">
        <f>1/12*10^6/60/60</f>
        <v>23.148148148148149</v>
      </c>
      <c r="D7" s="10">
        <v>0.1</v>
      </c>
      <c r="E7" s="10">
        <f t="shared" si="0"/>
        <v>2.3148148148148149</v>
      </c>
    </row>
    <row r="8" spans="2:20" x14ac:dyDescent="0.25">
      <c r="B8" s="30" t="s">
        <v>311</v>
      </c>
      <c r="C8" s="9">
        <f>1/12*10^6/24/60/60/365</f>
        <v>2.6424826653137154E-3</v>
      </c>
      <c r="D8" s="9">
        <v>500</v>
      </c>
      <c r="E8" s="10">
        <f t="shared" si="0"/>
        <v>1.3212413326568577</v>
      </c>
    </row>
    <row r="9" spans="2:20" x14ac:dyDescent="0.25">
      <c r="B9" s="30" t="s">
        <v>312</v>
      </c>
      <c r="C9" s="11">
        <f>1/44*10^6/60/60/24</f>
        <v>0.26304713804713803</v>
      </c>
      <c r="D9" s="9">
        <v>10</v>
      </c>
      <c r="E9" s="10">
        <f t="shared" si="0"/>
        <v>2.6304713804713802</v>
      </c>
      <c r="S9">
        <v>0.01</v>
      </c>
      <c r="T9">
        <f>LOG(S9,10)</f>
        <v>-1.9999999999999996</v>
      </c>
    </row>
    <row r="10" spans="2:20" x14ac:dyDescent="0.25">
      <c r="B10" s="30" t="s">
        <v>313</v>
      </c>
      <c r="C10" s="11">
        <f>1/44*10^6/60/60</f>
        <v>6.3131313131313131</v>
      </c>
      <c r="D10" s="10">
        <v>1</v>
      </c>
      <c r="E10" s="10">
        <f t="shared" si="0"/>
        <v>6.3131313131313131</v>
      </c>
      <c r="S10">
        <v>1</v>
      </c>
      <c r="T10">
        <f t="shared" ref="T10:T13" si="1">LOG(S10,10)</f>
        <v>0</v>
      </c>
    </row>
    <row r="11" spans="2:20" x14ac:dyDescent="0.25">
      <c r="B11" s="30" t="s">
        <v>314</v>
      </c>
      <c r="C11" s="11">
        <f>1/1000/12*10^6/60/60/24</f>
        <v>9.6450617283950612E-4</v>
      </c>
      <c r="D11" s="10">
        <v>1000</v>
      </c>
      <c r="E11" s="10">
        <f t="shared" si="0"/>
        <v>0.96450617283950613</v>
      </c>
      <c r="S11">
        <v>10</v>
      </c>
      <c r="T11">
        <f t="shared" si="1"/>
        <v>1</v>
      </c>
    </row>
    <row r="12" spans="2:20" x14ac:dyDescent="0.25">
      <c r="B12" s="30" t="s">
        <v>315</v>
      </c>
      <c r="C12" s="11">
        <f>1/1000/12*10^6/60/60</f>
        <v>2.3148148148148147E-2</v>
      </c>
      <c r="D12" s="10">
        <v>83</v>
      </c>
      <c r="E12" s="10">
        <f t="shared" si="0"/>
        <v>1.9212962962962963</v>
      </c>
      <c r="S12">
        <v>100</v>
      </c>
      <c r="T12">
        <f t="shared" si="1"/>
        <v>2</v>
      </c>
    </row>
    <row r="13" spans="2:20" x14ac:dyDescent="0.25">
      <c r="B13" s="30" t="s">
        <v>316</v>
      </c>
      <c r="C13" s="11">
        <f>1/1000/44*10^6/24/60/60</f>
        <v>2.6304713804713804E-4</v>
      </c>
      <c r="D13" s="10">
        <v>1000</v>
      </c>
      <c r="E13" s="10">
        <f t="shared" si="0"/>
        <v>0.26304713804713803</v>
      </c>
      <c r="S13">
        <v>1000</v>
      </c>
      <c r="T13">
        <f t="shared" si="1"/>
        <v>2.9999999999999996</v>
      </c>
    </row>
    <row r="14" spans="2:20" x14ac:dyDescent="0.25">
      <c r="B14" s="30" t="s">
        <v>317</v>
      </c>
      <c r="C14" s="11">
        <f>1/1000/44*10^6/60/60</f>
        <v>6.3131313131313139E-3</v>
      </c>
      <c r="D14" s="10">
        <v>100</v>
      </c>
      <c r="E14" s="10">
        <f t="shared" si="0"/>
        <v>0.63131313131313138</v>
      </c>
    </row>
    <row r="15" spans="2:20" x14ac:dyDescent="0.25">
      <c r="B15" s="30" t="s">
        <v>779</v>
      </c>
      <c r="C15" s="11">
        <f>1/1000/44*10^6</f>
        <v>22.72727272727273</v>
      </c>
      <c r="D15" s="9">
        <v>1</v>
      </c>
      <c r="E15" s="10">
        <f t="shared" si="0"/>
        <v>22.72727272727273</v>
      </c>
      <c r="F15" t="s">
        <v>780</v>
      </c>
      <c r="G15" t="s">
        <v>781</v>
      </c>
      <c r="H15">
        <f>0.001/44*1000000</f>
        <v>22.72727272727273</v>
      </c>
    </row>
    <row r="16" spans="2:20" x14ac:dyDescent="0.25">
      <c r="B16" s="30" t="s">
        <v>318</v>
      </c>
      <c r="C16" s="11">
        <f>1*1000/24/60/60</f>
        <v>1.1574074074074073E-2</v>
      </c>
      <c r="D16" s="10">
        <v>10</v>
      </c>
      <c r="E16" s="10">
        <f t="shared" si="0"/>
        <v>0.11574074074074073</v>
      </c>
    </row>
    <row r="17" spans="2:5" x14ac:dyDescent="0.25">
      <c r="B17" s="30" t="s">
        <v>319</v>
      </c>
      <c r="C17" s="9">
        <f>1*1000/60/60</f>
        <v>0.27777777777777779</v>
      </c>
      <c r="D17" s="10">
        <v>100</v>
      </c>
      <c r="E17" s="10">
        <f t="shared" si="0"/>
        <v>27.777777777777779</v>
      </c>
    </row>
    <row r="18" spans="2:5" x14ac:dyDescent="0.25">
      <c r="B18" s="30" t="s">
        <v>320</v>
      </c>
      <c r="C18" s="11">
        <f>1/1000</f>
        <v>1E-3</v>
      </c>
      <c r="D18" s="10">
        <v>1000</v>
      </c>
      <c r="E18" s="10">
        <f t="shared" si="0"/>
        <v>1</v>
      </c>
    </row>
    <row r="19" spans="2:5" x14ac:dyDescent="0.25">
      <c r="B19" s="30" t="s">
        <v>321</v>
      </c>
      <c r="C19" s="9">
        <f>1*10^6/365/24/60/60</f>
        <v>3.1709791983764585E-2</v>
      </c>
      <c r="D19" s="10">
        <v>10</v>
      </c>
      <c r="E19" s="10">
        <f t="shared" si="0"/>
        <v>0.31709791983764585</v>
      </c>
    </row>
    <row r="20" spans="2:5" x14ac:dyDescent="0.25">
      <c r="B20" s="30" t="s">
        <v>322</v>
      </c>
      <c r="C20" s="11">
        <v>1</v>
      </c>
      <c r="D20" s="10">
        <v>1</v>
      </c>
      <c r="E20" s="10">
        <f t="shared" si="0"/>
        <v>1</v>
      </c>
    </row>
    <row r="22" spans="2:5" x14ac:dyDescent="0.25">
      <c r="B22" t="s">
        <v>410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22" workbookViewId="0">
      <selection activeCell="F14" sqref="F14"/>
    </sheetView>
  </sheetViews>
  <sheetFormatPr defaultRowHeight="15" x14ac:dyDescent="0.25"/>
  <cols>
    <col min="2" max="2" width="23.28515625" customWidth="1"/>
    <col min="3" max="3" width="26" customWidth="1"/>
    <col min="4" max="4" width="24.5703125" customWidth="1"/>
    <col min="5" max="5" width="22.140625" customWidth="1"/>
    <col min="6" max="6" width="15.7109375" customWidth="1"/>
  </cols>
  <sheetData>
    <row r="1" spans="2:5" ht="15.75" thickBot="1" x14ac:dyDescent="0.3"/>
    <row r="2" spans="2:5" ht="16.5" thickTop="1" x14ac:dyDescent="0.25">
      <c r="B2" s="124" t="s">
        <v>1398</v>
      </c>
      <c r="C2" s="125" t="s">
        <v>1399</v>
      </c>
      <c r="D2" s="126" t="s">
        <v>1400</v>
      </c>
      <c r="E2" s="127" t="s">
        <v>1401</v>
      </c>
    </row>
    <row r="3" spans="2:5" ht="15.75" x14ac:dyDescent="0.25">
      <c r="B3" s="128" t="s">
        <v>1402</v>
      </c>
      <c r="C3" s="121"/>
      <c r="D3" s="121"/>
      <c r="E3" s="129"/>
    </row>
    <row r="4" spans="2:5" ht="15.75" x14ac:dyDescent="0.25">
      <c r="B4" s="130"/>
      <c r="C4" s="122" t="s">
        <v>1403</v>
      </c>
      <c r="D4" s="122" t="s">
        <v>1404</v>
      </c>
      <c r="E4" s="131" t="s">
        <v>1405</v>
      </c>
    </row>
    <row r="5" spans="2:5" ht="15.75" x14ac:dyDescent="0.25">
      <c r="B5" s="130"/>
      <c r="C5" s="122" t="s">
        <v>1406</v>
      </c>
      <c r="D5" s="122" t="s">
        <v>1407</v>
      </c>
      <c r="E5" s="131" t="s">
        <v>1408</v>
      </c>
    </row>
    <row r="6" spans="2:5" ht="15.75" x14ac:dyDescent="0.25">
      <c r="B6" s="130"/>
      <c r="C6" s="122" t="s">
        <v>1409</v>
      </c>
      <c r="D6" s="122" t="s">
        <v>1410</v>
      </c>
      <c r="E6" s="131" t="s">
        <v>1411</v>
      </c>
    </row>
    <row r="7" spans="2:5" ht="15.75" x14ac:dyDescent="0.25">
      <c r="B7" s="128" t="s">
        <v>1412</v>
      </c>
      <c r="C7" s="121"/>
      <c r="D7" s="121"/>
      <c r="E7" s="129"/>
    </row>
    <row r="8" spans="2:5" ht="31.5" x14ac:dyDescent="0.25">
      <c r="B8" s="130"/>
      <c r="C8" s="122" t="s">
        <v>1413</v>
      </c>
      <c r="D8" s="122" t="s">
        <v>1414</v>
      </c>
      <c r="E8" s="131" t="s">
        <v>1415</v>
      </c>
    </row>
    <row r="9" spans="2:5" ht="31.5" x14ac:dyDescent="0.25">
      <c r="B9" s="130"/>
      <c r="C9" s="122" t="s">
        <v>1416</v>
      </c>
      <c r="D9" s="122" t="s">
        <v>1417</v>
      </c>
      <c r="E9" s="131" t="s">
        <v>1418</v>
      </c>
    </row>
    <row r="10" spans="2:5" ht="15.75" x14ac:dyDescent="0.25">
      <c r="B10" s="130"/>
      <c r="C10" s="122" t="s">
        <v>1419</v>
      </c>
      <c r="D10" s="122" t="s">
        <v>1420</v>
      </c>
      <c r="E10" s="131" t="s">
        <v>1421</v>
      </c>
    </row>
    <row r="11" spans="2:5" ht="31.5" x14ac:dyDescent="0.25">
      <c r="B11" s="130"/>
      <c r="C11" s="122" t="s">
        <v>1422</v>
      </c>
      <c r="D11" s="122" t="s">
        <v>1414</v>
      </c>
      <c r="E11" s="131" t="s">
        <v>1423</v>
      </c>
    </row>
    <row r="12" spans="2:5" ht="15.75" x14ac:dyDescent="0.25">
      <c r="B12" s="130"/>
      <c r="C12" s="122" t="s">
        <v>1424</v>
      </c>
      <c r="D12" s="122" t="s">
        <v>1425</v>
      </c>
      <c r="E12" s="131" t="s">
        <v>1426</v>
      </c>
    </row>
    <row r="13" spans="2:5" ht="31.5" x14ac:dyDescent="0.25">
      <c r="B13" s="130"/>
      <c r="C13" s="122" t="s">
        <v>1427</v>
      </c>
      <c r="D13" s="122" t="s">
        <v>1428</v>
      </c>
      <c r="E13" s="131" t="s">
        <v>1429</v>
      </c>
    </row>
    <row r="14" spans="2:5" ht="15.75" x14ac:dyDescent="0.25">
      <c r="B14" s="130"/>
      <c r="C14" s="122" t="s">
        <v>1430</v>
      </c>
      <c r="D14" s="122" t="s">
        <v>1425</v>
      </c>
      <c r="E14" s="131" t="s">
        <v>1429</v>
      </c>
    </row>
    <row r="15" spans="2:5" ht="15.75" x14ac:dyDescent="0.25">
      <c r="B15" s="130"/>
      <c r="C15" s="122" t="s">
        <v>1431</v>
      </c>
      <c r="D15" s="122" t="s">
        <v>1425</v>
      </c>
      <c r="E15" s="131" t="s">
        <v>1432</v>
      </c>
    </row>
    <row r="16" spans="2:5" ht="15.75" x14ac:dyDescent="0.25">
      <c r="B16" s="130"/>
      <c r="C16" s="122" t="s">
        <v>1433</v>
      </c>
      <c r="D16" s="122" t="s">
        <v>1434</v>
      </c>
      <c r="E16" s="131" t="s">
        <v>1432</v>
      </c>
    </row>
    <row r="17" spans="2:5" ht="15.75" x14ac:dyDescent="0.25">
      <c r="B17" s="128" t="s">
        <v>1435</v>
      </c>
      <c r="C17" s="121"/>
      <c r="D17" s="121"/>
      <c r="E17" s="129"/>
    </row>
    <row r="18" spans="2:5" ht="31.5" x14ac:dyDescent="0.25">
      <c r="B18" s="130"/>
      <c r="C18" s="122" t="s">
        <v>1436</v>
      </c>
      <c r="D18" s="122" t="s">
        <v>1437</v>
      </c>
      <c r="E18" s="131" t="s">
        <v>1438</v>
      </c>
    </row>
    <row r="19" spans="2:5" ht="31.5" x14ac:dyDescent="0.25">
      <c r="B19" s="130"/>
      <c r="C19" s="122" t="s">
        <v>1439</v>
      </c>
      <c r="D19" s="122" t="s">
        <v>1440</v>
      </c>
      <c r="E19" s="131" t="s">
        <v>1441</v>
      </c>
    </row>
    <row r="20" spans="2:5" ht="15.75" x14ac:dyDescent="0.25">
      <c r="B20" s="130"/>
      <c r="C20" s="122" t="s">
        <v>1442</v>
      </c>
      <c r="D20" s="122" t="s">
        <v>769</v>
      </c>
      <c r="E20" s="131" t="s">
        <v>1443</v>
      </c>
    </row>
    <row r="21" spans="2:5" ht="15.75" x14ac:dyDescent="0.25">
      <c r="B21" s="130"/>
      <c r="C21" s="122" t="s">
        <v>1444</v>
      </c>
      <c r="D21" s="122" t="s">
        <v>1445</v>
      </c>
      <c r="E21" s="131" t="s">
        <v>1446</v>
      </c>
    </row>
    <row r="22" spans="2:5" x14ac:dyDescent="0.25">
      <c r="B22" s="130"/>
      <c r="C22" s="121"/>
      <c r="D22" s="121"/>
      <c r="E22" s="129"/>
    </row>
    <row r="23" spans="2:5" ht="15.75" x14ac:dyDescent="0.25">
      <c r="B23" s="130"/>
      <c r="C23" s="122" t="s">
        <v>1447</v>
      </c>
      <c r="D23" s="122" t="s">
        <v>1448</v>
      </c>
      <c r="E23" s="131" t="s">
        <v>1449</v>
      </c>
    </row>
    <row r="24" spans="2:5" ht="15.75" x14ac:dyDescent="0.25">
      <c r="B24" s="128" t="s">
        <v>1450</v>
      </c>
      <c r="C24" s="121"/>
      <c r="D24" s="121"/>
      <c r="E24" s="129"/>
    </row>
    <row r="25" spans="2:5" ht="15.75" x14ac:dyDescent="0.25">
      <c r="B25" s="130"/>
      <c r="C25" s="122" t="s">
        <v>1451</v>
      </c>
      <c r="D25" s="121"/>
      <c r="E25" s="131" t="s">
        <v>1452</v>
      </c>
    </row>
    <row r="26" spans="2:5" ht="15.75" x14ac:dyDescent="0.25">
      <c r="B26" s="128" t="s">
        <v>1453</v>
      </c>
      <c r="C26" s="121"/>
      <c r="D26" s="121"/>
      <c r="E26" s="129"/>
    </row>
    <row r="27" spans="2:5" ht="31.5" x14ac:dyDescent="0.25">
      <c r="B27" s="130"/>
      <c r="C27" s="122" t="s">
        <v>1454</v>
      </c>
      <c r="D27" s="122" t="s">
        <v>1455</v>
      </c>
      <c r="E27" s="131" t="s">
        <v>1456</v>
      </c>
    </row>
    <row r="28" spans="2:5" ht="15.75" x14ac:dyDescent="0.25">
      <c r="B28" s="130"/>
      <c r="C28" s="122" t="s">
        <v>1457</v>
      </c>
      <c r="D28" s="122" t="s">
        <v>1458</v>
      </c>
      <c r="E28" s="131" t="s">
        <v>1459</v>
      </c>
    </row>
    <row r="29" spans="2:5" ht="31.5" x14ac:dyDescent="0.25">
      <c r="B29" s="130"/>
      <c r="C29" s="122" t="s">
        <v>1460</v>
      </c>
      <c r="D29" s="122" t="s">
        <v>1461</v>
      </c>
      <c r="E29" s="131" t="s">
        <v>1459</v>
      </c>
    </row>
    <row r="30" spans="2:5" ht="15.75" x14ac:dyDescent="0.25">
      <c r="B30" s="130"/>
      <c r="C30" s="122" t="s">
        <v>1462</v>
      </c>
      <c r="D30" s="122" t="s">
        <v>1463</v>
      </c>
      <c r="E30" s="131" t="s">
        <v>1464</v>
      </c>
    </row>
    <row r="31" spans="2:5" ht="15.75" x14ac:dyDescent="0.25">
      <c r="B31" s="130"/>
      <c r="C31" s="122" t="s">
        <v>1465</v>
      </c>
      <c r="D31" s="122" t="s">
        <v>1466</v>
      </c>
      <c r="E31" s="131" t="s">
        <v>1467</v>
      </c>
    </row>
    <row r="32" spans="2:5" ht="15.75" x14ac:dyDescent="0.25">
      <c r="B32" s="130"/>
      <c r="C32" s="122" t="s">
        <v>1468</v>
      </c>
      <c r="D32" s="122" t="s">
        <v>1469</v>
      </c>
      <c r="E32" s="131" t="s">
        <v>1470</v>
      </c>
    </row>
    <row r="33" spans="2:5" ht="15.75" x14ac:dyDescent="0.25">
      <c r="B33" s="130"/>
      <c r="C33" s="122" t="s">
        <v>1471</v>
      </c>
      <c r="D33" s="122" t="s">
        <v>1469</v>
      </c>
      <c r="E33" s="131" t="s">
        <v>1472</v>
      </c>
    </row>
    <row r="34" spans="2:5" ht="15.75" x14ac:dyDescent="0.25">
      <c r="B34" s="130"/>
      <c r="C34" s="122" t="s">
        <v>1473</v>
      </c>
      <c r="D34" s="122" t="s">
        <v>1474</v>
      </c>
      <c r="E34" s="131" t="s">
        <v>1472</v>
      </c>
    </row>
    <row r="35" spans="2:5" ht="31.5" x14ac:dyDescent="0.25">
      <c r="B35" s="130"/>
      <c r="C35" s="122" t="s">
        <v>1475</v>
      </c>
      <c r="D35" s="122" t="s">
        <v>1476</v>
      </c>
      <c r="E35" s="131" t="s">
        <v>1477</v>
      </c>
    </row>
    <row r="36" spans="2:5" ht="31.5" x14ac:dyDescent="0.25">
      <c r="B36" s="130"/>
      <c r="C36" s="122" t="s">
        <v>1478</v>
      </c>
      <c r="D36" s="122" t="s">
        <v>1476</v>
      </c>
      <c r="E36" s="131" t="s">
        <v>1479</v>
      </c>
    </row>
    <row r="37" spans="2:5" ht="47.25" x14ac:dyDescent="0.25">
      <c r="B37" s="130"/>
      <c r="C37" s="122" t="s">
        <v>1480</v>
      </c>
      <c r="D37" s="123" t="s">
        <v>1481</v>
      </c>
      <c r="E37" s="131" t="s">
        <v>1479</v>
      </c>
    </row>
    <row r="38" spans="2:5" ht="31.5" x14ac:dyDescent="0.25">
      <c r="B38" s="130"/>
      <c r="C38" s="122" t="s">
        <v>1482</v>
      </c>
      <c r="D38" s="122" t="s">
        <v>1483</v>
      </c>
      <c r="E38" s="131" t="s">
        <v>1484</v>
      </c>
    </row>
    <row r="39" spans="2:5" ht="15.75" x14ac:dyDescent="0.25">
      <c r="B39" s="130"/>
      <c r="C39" s="122" t="s">
        <v>1485</v>
      </c>
      <c r="D39" s="122" t="s">
        <v>1469</v>
      </c>
      <c r="E39" s="131" t="s">
        <v>1486</v>
      </c>
    </row>
    <row r="40" spans="2:5" ht="15.75" x14ac:dyDescent="0.25">
      <c r="B40" s="130"/>
      <c r="C40" s="122" t="s">
        <v>1487</v>
      </c>
      <c r="D40" s="122" t="s">
        <v>1488</v>
      </c>
      <c r="E40" s="131" t="s">
        <v>1489</v>
      </c>
    </row>
    <row r="41" spans="2:5" ht="15.75" x14ac:dyDescent="0.25">
      <c r="B41" s="128" t="s">
        <v>1490</v>
      </c>
      <c r="C41" s="121"/>
      <c r="D41" s="121"/>
      <c r="E41" s="129"/>
    </row>
    <row r="42" spans="2:5" ht="31.5" x14ac:dyDescent="0.25">
      <c r="B42" s="130"/>
      <c r="C42" s="122" t="s">
        <v>1491</v>
      </c>
      <c r="D42" s="122" t="s">
        <v>1420</v>
      </c>
      <c r="E42" s="131" t="s">
        <v>1492</v>
      </c>
    </row>
    <row r="43" spans="2:5" ht="31.5" x14ac:dyDescent="0.25">
      <c r="B43" s="130"/>
      <c r="C43" s="122" t="s">
        <v>1493</v>
      </c>
      <c r="D43" s="122" t="s">
        <v>1483</v>
      </c>
      <c r="E43" s="131" t="s">
        <v>1492</v>
      </c>
    </row>
    <row r="44" spans="2:5" ht="31.5" x14ac:dyDescent="0.25">
      <c r="B44" s="130"/>
      <c r="C44" s="122" t="s">
        <v>1494</v>
      </c>
      <c r="D44" s="122" t="s">
        <v>1414</v>
      </c>
      <c r="E44" s="131" t="s">
        <v>1495</v>
      </c>
    </row>
    <row r="45" spans="2:5" ht="15.75" x14ac:dyDescent="0.25">
      <c r="B45" s="130"/>
      <c r="C45" s="122" t="s">
        <v>1496</v>
      </c>
      <c r="D45" s="122" t="s">
        <v>1474</v>
      </c>
      <c r="E45" s="131" t="s">
        <v>1497</v>
      </c>
    </row>
    <row r="46" spans="2:5" ht="31.5" x14ac:dyDescent="0.25">
      <c r="B46" s="130"/>
      <c r="C46" s="122" t="s">
        <v>1498</v>
      </c>
      <c r="D46" s="122" t="s">
        <v>1474</v>
      </c>
      <c r="E46" s="131" t="s">
        <v>1499</v>
      </c>
    </row>
    <row r="47" spans="2:5" ht="15.75" x14ac:dyDescent="0.25">
      <c r="B47" s="130"/>
      <c r="C47" s="122" t="s">
        <v>1500</v>
      </c>
      <c r="D47" s="122" t="s">
        <v>1501</v>
      </c>
      <c r="E47" s="131" t="s">
        <v>1502</v>
      </c>
    </row>
    <row r="48" spans="2:5" ht="15.75" x14ac:dyDescent="0.25">
      <c r="B48" s="130"/>
      <c r="C48" s="122" t="s">
        <v>1503</v>
      </c>
      <c r="D48" s="122" t="s">
        <v>1504</v>
      </c>
      <c r="E48" s="131" t="s">
        <v>1505</v>
      </c>
    </row>
    <row r="49" spans="2:5" ht="15.75" x14ac:dyDescent="0.25">
      <c r="B49" s="130"/>
      <c r="C49" s="122" t="s">
        <v>1506</v>
      </c>
      <c r="D49" s="122" t="s">
        <v>1474</v>
      </c>
      <c r="E49" s="131" t="s">
        <v>1507</v>
      </c>
    </row>
    <row r="50" spans="2:5" ht="31.5" x14ac:dyDescent="0.25">
      <c r="B50" s="130"/>
      <c r="C50" s="122" t="s">
        <v>1508</v>
      </c>
      <c r="D50" s="122" t="s">
        <v>1509</v>
      </c>
      <c r="E50" s="131" t="s">
        <v>1510</v>
      </c>
    </row>
    <row r="51" spans="2:5" ht="31.5" x14ac:dyDescent="0.25">
      <c r="B51" s="130"/>
      <c r="C51" s="122" t="s">
        <v>1511</v>
      </c>
      <c r="D51" s="122" t="s">
        <v>1414</v>
      </c>
      <c r="E51" s="131" t="s">
        <v>1512</v>
      </c>
    </row>
    <row r="52" spans="2:5" ht="31.5" x14ac:dyDescent="0.25">
      <c r="B52" s="130"/>
      <c r="C52" s="122" t="s">
        <v>1513</v>
      </c>
      <c r="D52" s="122" t="s">
        <v>1514</v>
      </c>
      <c r="E52" s="131" t="s">
        <v>1515</v>
      </c>
    </row>
    <row r="53" spans="2:5" ht="31.5" x14ac:dyDescent="0.25">
      <c r="B53" s="130"/>
      <c r="C53" s="122" t="s">
        <v>1516</v>
      </c>
      <c r="D53" s="122" t="s">
        <v>1517</v>
      </c>
      <c r="E53" s="131" t="s">
        <v>1518</v>
      </c>
    </row>
    <row r="54" spans="2:5" ht="31.5" x14ac:dyDescent="0.25">
      <c r="B54" s="130"/>
      <c r="C54" s="122" t="s">
        <v>1519</v>
      </c>
      <c r="D54" s="122" t="s">
        <v>1517</v>
      </c>
      <c r="E54" s="131" t="s">
        <v>1518</v>
      </c>
    </row>
    <row r="55" spans="2:5" ht="15.75" x14ac:dyDescent="0.25">
      <c r="B55" s="130"/>
      <c r="C55" s="122" t="s">
        <v>1520</v>
      </c>
      <c r="D55" s="122" t="s">
        <v>1407</v>
      </c>
      <c r="E55" s="131" t="s">
        <v>1521</v>
      </c>
    </row>
    <row r="56" spans="2:5" ht="31.5" x14ac:dyDescent="0.25">
      <c r="B56" s="130"/>
      <c r="C56" s="122" t="s">
        <v>1522</v>
      </c>
      <c r="D56" s="122" t="s">
        <v>1523</v>
      </c>
      <c r="E56" s="131" t="s">
        <v>1524</v>
      </c>
    </row>
    <row r="57" spans="2:5" ht="31.5" x14ac:dyDescent="0.25">
      <c r="B57" s="130"/>
      <c r="C57" s="122" t="s">
        <v>1525</v>
      </c>
      <c r="D57" s="122" t="s">
        <v>1526</v>
      </c>
      <c r="E57" s="131" t="s">
        <v>1527</v>
      </c>
    </row>
    <row r="58" spans="2:5" ht="31.5" x14ac:dyDescent="0.25">
      <c r="B58" s="130"/>
      <c r="C58" s="122" t="s">
        <v>1528</v>
      </c>
      <c r="D58" s="122" t="s">
        <v>1476</v>
      </c>
      <c r="E58" s="131" t="s">
        <v>1529</v>
      </c>
    </row>
    <row r="59" spans="2:5" ht="31.5" x14ac:dyDescent="0.25">
      <c r="B59" s="130"/>
      <c r="C59" s="122" t="s">
        <v>1530</v>
      </c>
      <c r="D59" s="122" t="s">
        <v>1420</v>
      </c>
      <c r="E59" s="131" t="s">
        <v>1531</v>
      </c>
    </row>
    <row r="60" spans="2:5" ht="15.75" x14ac:dyDescent="0.25">
      <c r="B60" s="128" t="s">
        <v>1532</v>
      </c>
      <c r="C60" s="121"/>
      <c r="D60" s="121"/>
      <c r="E60" s="129"/>
    </row>
    <row r="61" spans="2:5" ht="15.75" x14ac:dyDescent="0.25">
      <c r="B61" s="130"/>
      <c r="C61" s="122" t="s">
        <v>1533</v>
      </c>
      <c r="D61" s="122" t="s">
        <v>1488</v>
      </c>
      <c r="E61" s="131" t="s">
        <v>1534</v>
      </c>
    </row>
    <row r="62" spans="2:5" ht="15.75" x14ac:dyDescent="0.25">
      <c r="B62" s="128" t="s">
        <v>1535</v>
      </c>
      <c r="C62" s="121"/>
      <c r="D62" s="121"/>
      <c r="E62" s="129"/>
    </row>
    <row r="63" spans="2:5" ht="31.5" x14ac:dyDescent="0.25">
      <c r="B63" s="130"/>
      <c r="C63" s="122" t="s">
        <v>1536</v>
      </c>
      <c r="D63" s="122" t="s">
        <v>1483</v>
      </c>
      <c r="E63" s="131" t="s">
        <v>1537</v>
      </c>
    </row>
    <row r="64" spans="2:5" ht="31.5" x14ac:dyDescent="0.25">
      <c r="B64" s="130"/>
      <c r="C64" s="122" t="s">
        <v>1538</v>
      </c>
      <c r="D64" s="122" t="s">
        <v>1539</v>
      </c>
      <c r="E64" s="132" t="s">
        <v>1537</v>
      </c>
    </row>
    <row r="65" spans="2:5" ht="32.25" thickBot="1" x14ac:dyDescent="0.3">
      <c r="B65" s="133"/>
      <c r="C65" s="134" t="s">
        <v>1540</v>
      </c>
      <c r="D65" s="134" t="s">
        <v>1541</v>
      </c>
      <c r="E65" s="135" t="s">
        <v>1542</v>
      </c>
    </row>
    <row r="66" spans="2:5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8" sqref="D8"/>
    </sheetView>
  </sheetViews>
  <sheetFormatPr defaultRowHeight="15" x14ac:dyDescent="0.25"/>
  <cols>
    <col min="1" max="2" width="9.140625" style="5"/>
    <col min="3" max="3" width="7.5703125" style="5" customWidth="1"/>
    <col min="4" max="4" width="65.7109375" style="5" customWidth="1"/>
    <col min="5" max="9" width="9.140625" style="5"/>
  </cols>
  <sheetData>
    <row r="1" spans="1:9" s="1" customFormat="1" x14ac:dyDescent="0.25">
      <c r="A1" s="6" t="s">
        <v>1683</v>
      </c>
      <c r="B1" s="6" t="s">
        <v>143</v>
      </c>
      <c r="C1" s="6" t="s">
        <v>1685</v>
      </c>
      <c r="D1" s="6" t="s">
        <v>1684</v>
      </c>
      <c r="E1" s="6" t="s">
        <v>1709</v>
      </c>
      <c r="F1" s="6"/>
      <c r="G1" s="6"/>
      <c r="H1" s="6"/>
      <c r="I1" s="6"/>
    </row>
    <row r="2" spans="1:9" x14ac:dyDescent="0.25">
      <c r="A2" s="5">
        <v>1</v>
      </c>
      <c r="B2" s="5">
        <v>60</v>
      </c>
      <c r="C2" s="5" t="s">
        <v>1743</v>
      </c>
      <c r="D2" s="5" t="s">
        <v>1744</v>
      </c>
      <c r="E2" s="5" t="s">
        <v>1710</v>
      </c>
    </row>
    <row r="3" spans="1:9" x14ac:dyDescent="0.25">
      <c r="A3" s="5">
        <v>2</v>
      </c>
      <c r="D3" s="5" t="s">
        <v>1772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Expliantion</vt:lpstr>
      <vt:lpstr>Units convertion</vt:lpstr>
      <vt:lpstr>RsUnits</vt:lpstr>
      <vt:lpstr>SoilClassfication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2018-04-25T17:14:21Z</dcterms:modified>
</cp:coreProperties>
</file>